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RAFAEL\30.35 - MATERIAL DE LABORATÓRIO  ok\"/>
    </mc:Choice>
  </mc:AlternateContent>
  <bookViews>
    <workbookView xWindow="0" yWindow="0" windowWidth="24000" windowHeight="9735" tabRatio="137" firstSheet="3" activeTab="3"/>
  </bookViews>
  <sheets>
    <sheet name="Plan2" sheetId="2" state="hidden" r:id="rId1"/>
    <sheet name="plan3" sheetId="21" state="hidden" r:id="rId2"/>
    <sheet name="Plan1" sheetId="1" state="hidden" r:id="rId3"/>
    <sheet name="Menu" sheetId="4" r:id="rId4"/>
    <sheet name="180.000" sheetId="3" r:id="rId5"/>
    <sheet name="190.000" sheetId="22" r:id="rId6"/>
    <sheet name="210.300" sheetId="23" r:id="rId7"/>
    <sheet name="220.100" sheetId="25" r:id="rId8"/>
    <sheet name="220.200" sheetId="26" r:id="rId9"/>
    <sheet name="220.300" sheetId="27" r:id="rId10"/>
    <sheet name="220.400" sheetId="28" r:id="rId11"/>
    <sheet name="220.410" sheetId="29" r:id="rId12"/>
    <sheet name="220.500" sheetId="30" r:id="rId13"/>
    <sheet name="220.600" sheetId="31" r:id="rId14"/>
    <sheet name="230.100" sheetId="32" r:id="rId15"/>
    <sheet name="260.000" sheetId="33" r:id="rId16"/>
    <sheet name="260.100" sheetId="34" r:id="rId17"/>
    <sheet name="260.300" sheetId="35" r:id="rId18"/>
    <sheet name="270.300" sheetId="36" r:id="rId19"/>
    <sheet name="270.400" sheetId="37" r:id="rId20"/>
    <sheet name="280.100" sheetId="38" r:id="rId21"/>
    <sheet name="280.200" sheetId="39" r:id="rId22"/>
    <sheet name="280.300" sheetId="40" r:id="rId23"/>
    <sheet name="280.400" sheetId="41" r:id="rId24"/>
    <sheet name="290.000" sheetId="42" r:id="rId25"/>
    <sheet name="310.000" sheetId="43" r:id="rId26"/>
    <sheet name="400.000" sheetId="44" r:id="rId27"/>
    <sheet name="600.000" sheetId="45" r:id="rId28"/>
  </sheets>
  <definedNames>
    <definedName name="_xlnm._FilterDatabase" localSheetId="2" hidden="1">Plan1!$A$1:$T$530</definedName>
  </definedNames>
  <calcPr calcId="152511"/>
  <pivotCaches>
    <pivotCache cacheId="0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0" i="1" l="1"/>
  <c r="O460" i="1" s="1"/>
  <c r="K489" i="1"/>
  <c r="O489" i="1" s="1"/>
  <c r="K490" i="1"/>
  <c r="O490" i="1" s="1"/>
  <c r="G489" i="1"/>
  <c r="G490" i="1"/>
  <c r="K487" i="1"/>
  <c r="O487" i="1" s="1"/>
  <c r="K488" i="1"/>
  <c r="O488" i="1" s="1"/>
  <c r="G487" i="1"/>
  <c r="G488" i="1"/>
  <c r="K486" i="1"/>
  <c r="O486" i="1" s="1"/>
  <c r="G486" i="1"/>
  <c r="K484" i="1"/>
  <c r="O484" i="1" s="1"/>
  <c r="K485" i="1"/>
  <c r="O485" i="1" s="1"/>
  <c r="G484" i="1"/>
  <c r="G485" i="1"/>
  <c r="K483" i="1"/>
  <c r="O483" i="1" s="1"/>
  <c r="G483" i="1"/>
  <c r="K478" i="1" l="1"/>
  <c r="O478" i="1" s="1"/>
  <c r="K479" i="1"/>
  <c r="O479" i="1" s="1"/>
  <c r="K480" i="1"/>
  <c r="O480" i="1" s="1"/>
  <c r="K481" i="1"/>
  <c r="O481" i="1" s="1"/>
  <c r="K482" i="1"/>
  <c r="O482" i="1" s="1"/>
  <c r="G478" i="1"/>
  <c r="G479" i="1"/>
  <c r="G480" i="1"/>
  <c r="G481" i="1"/>
  <c r="G482" i="1"/>
  <c r="K461" i="1"/>
  <c r="O461" i="1" s="1"/>
  <c r="K462" i="1"/>
  <c r="O462" i="1" s="1"/>
  <c r="K463" i="1"/>
  <c r="O463" i="1" s="1"/>
  <c r="K464" i="1"/>
  <c r="O464" i="1" s="1"/>
  <c r="K465" i="1"/>
  <c r="O465" i="1" s="1"/>
  <c r="K466" i="1"/>
  <c r="O466" i="1" s="1"/>
  <c r="K467" i="1"/>
  <c r="O467" i="1" s="1"/>
  <c r="K468" i="1"/>
  <c r="O468" i="1" s="1"/>
  <c r="K469" i="1"/>
  <c r="O469" i="1" s="1"/>
  <c r="K470" i="1"/>
  <c r="O470" i="1" s="1"/>
  <c r="K471" i="1"/>
  <c r="O471" i="1" s="1"/>
  <c r="K472" i="1"/>
  <c r="O472" i="1" s="1"/>
  <c r="K473" i="1"/>
  <c r="O473" i="1" s="1"/>
  <c r="K474" i="1"/>
  <c r="K475" i="1"/>
  <c r="O475" i="1" s="1"/>
  <c r="K476" i="1"/>
  <c r="O476" i="1" s="1"/>
  <c r="K477" i="1"/>
  <c r="O477" i="1" s="1"/>
  <c r="K458" i="1"/>
  <c r="O458" i="1" s="1"/>
  <c r="K459" i="1"/>
  <c r="O459" i="1" s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K445" i="1"/>
  <c r="O445" i="1" s="1"/>
  <c r="K446" i="1"/>
  <c r="O446" i="1" s="1"/>
  <c r="K447" i="1"/>
  <c r="O447" i="1" s="1"/>
  <c r="K448" i="1"/>
  <c r="O448" i="1" s="1"/>
  <c r="K449" i="1"/>
  <c r="O449" i="1" s="1"/>
  <c r="K450" i="1"/>
  <c r="O450" i="1" s="1"/>
  <c r="K451" i="1"/>
  <c r="O451" i="1" s="1"/>
  <c r="K452" i="1"/>
  <c r="O452" i="1" s="1"/>
  <c r="K453" i="1"/>
  <c r="O453" i="1" s="1"/>
  <c r="K454" i="1"/>
  <c r="O454" i="1" s="1"/>
  <c r="K455" i="1"/>
  <c r="K456" i="1"/>
  <c r="O456" i="1" s="1"/>
  <c r="K457" i="1"/>
  <c r="O457" i="1" s="1"/>
  <c r="K443" i="1"/>
  <c r="O443" i="1" s="1"/>
  <c r="K444" i="1"/>
  <c r="O444" i="1" s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K435" i="1"/>
  <c r="O435" i="1" s="1"/>
  <c r="K436" i="1"/>
  <c r="O436" i="1" s="1"/>
  <c r="K437" i="1"/>
  <c r="O437" i="1" s="1"/>
  <c r="K438" i="1"/>
  <c r="O438" i="1" s="1"/>
  <c r="K439" i="1"/>
  <c r="O439" i="1" s="1"/>
  <c r="K440" i="1"/>
  <c r="O440" i="1" s="1"/>
  <c r="K441" i="1"/>
  <c r="K442" i="1"/>
  <c r="O442" i="1" s="1"/>
  <c r="G435" i="1"/>
  <c r="G436" i="1"/>
  <c r="G437" i="1"/>
  <c r="G438" i="1"/>
  <c r="G439" i="1"/>
  <c r="G440" i="1"/>
  <c r="G441" i="1"/>
  <c r="G442" i="1"/>
  <c r="K421" i="1"/>
  <c r="O421" i="1" s="1"/>
  <c r="K422" i="1"/>
  <c r="O422" i="1" s="1"/>
  <c r="K423" i="1"/>
  <c r="O423" i="1" s="1"/>
  <c r="K424" i="1"/>
  <c r="O424" i="1" s="1"/>
  <c r="K425" i="1"/>
  <c r="O425" i="1" s="1"/>
  <c r="K426" i="1"/>
  <c r="O426" i="1" s="1"/>
  <c r="K427" i="1"/>
  <c r="O427" i="1" s="1"/>
  <c r="K428" i="1"/>
  <c r="O428" i="1" s="1"/>
  <c r="K429" i="1"/>
  <c r="O429" i="1" s="1"/>
  <c r="K430" i="1"/>
  <c r="O430" i="1" s="1"/>
  <c r="K431" i="1"/>
  <c r="O431" i="1" s="1"/>
  <c r="K432" i="1"/>
  <c r="K433" i="1"/>
  <c r="O433" i="1" s="1"/>
  <c r="K434" i="1"/>
  <c r="O434" i="1" s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K413" i="1"/>
  <c r="O413" i="1" s="1"/>
  <c r="K414" i="1"/>
  <c r="O414" i="1" s="1"/>
  <c r="K415" i="1"/>
  <c r="O415" i="1" s="1"/>
  <c r="K416" i="1"/>
  <c r="O416" i="1" s="1"/>
  <c r="K417" i="1"/>
  <c r="O417" i="1" s="1"/>
  <c r="K418" i="1"/>
  <c r="O418" i="1" s="1"/>
  <c r="K419" i="1"/>
  <c r="O419" i="1" s="1"/>
  <c r="K420" i="1"/>
  <c r="K411" i="1"/>
  <c r="O411" i="1" s="1"/>
  <c r="K412" i="1"/>
  <c r="O412" i="1" s="1"/>
  <c r="G411" i="1"/>
  <c r="G412" i="1"/>
  <c r="G413" i="1"/>
  <c r="G414" i="1"/>
  <c r="G415" i="1"/>
  <c r="G416" i="1"/>
  <c r="G417" i="1"/>
  <c r="G418" i="1"/>
  <c r="G419" i="1"/>
  <c r="G420" i="1"/>
  <c r="K405" i="1"/>
  <c r="O405" i="1" s="1"/>
  <c r="K406" i="1"/>
  <c r="O406" i="1" s="1"/>
  <c r="K407" i="1"/>
  <c r="O407" i="1" s="1"/>
  <c r="K408" i="1"/>
  <c r="O408" i="1" s="1"/>
  <c r="K409" i="1"/>
  <c r="O409" i="1" s="1"/>
  <c r="K410" i="1"/>
  <c r="O410" i="1" s="1"/>
  <c r="K399" i="1"/>
  <c r="O399" i="1" s="1"/>
  <c r="K400" i="1"/>
  <c r="O400" i="1" s="1"/>
  <c r="K401" i="1"/>
  <c r="O401" i="1" s="1"/>
  <c r="K402" i="1"/>
  <c r="O402" i="1" s="1"/>
  <c r="K403" i="1"/>
  <c r="O403" i="1" s="1"/>
  <c r="K404" i="1"/>
  <c r="O404" i="1" s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392" i="1"/>
  <c r="G393" i="1"/>
  <c r="G394" i="1"/>
  <c r="G395" i="1"/>
  <c r="G396" i="1"/>
  <c r="G397" i="1"/>
  <c r="G398" i="1"/>
  <c r="K392" i="1"/>
  <c r="O392" i="1" s="1"/>
  <c r="K393" i="1"/>
  <c r="O393" i="1" s="1"/>
  <c r="K394" i="1"/>
  <c r="O394" i="1" s="1"/>
  <c r="K395" i="1"/>
  <c r="O395" i="1" s="1"/>
  <c r="K396" i="1"/>
  <c r="O396" i="1" s="1"/>
  <c r="K397" i="1"/>
  <c r="O397" i="1" s="1"/>
  <c r="K398" i="1"/>
  <c r="O398" i="1" s="1"/>
  <c r="G383" i="1"/>
  <c r="K383" i="1"/>
  <c r="O383" i="1" s="1"/>
  <c r="G384" i="1"/>
  <c r="K384" i="1"/>
  <c r="O384" i="1" s="1"/>
  <c r="G385" i="1"/>
  <c r="K385" i="1"/>
  <c r="G386" i="1"/>
  <c r="K386" i="1"/>
  <c r="O386" i="1" s="1"/>
  <c r="G387" i="1"/>
  <c r="K387" i="1"/>
  <c r="O387" i="1" s="1"/>
  <c r="G388" i="1"/>
  <c r="K388" i="1"/>
  <c r="O388" i="1" s="1"/>
  <c r="G389" i="1"/>
  <c r="K389" i="1"/>
  <c r="O389" i="1" s="1"/>
  <c r="G390" i="1"/>
  <c r="K390" i="1"/>
  <c r="O390" i="1" s="1"/>
  <c r="G391" i="1"/>
  <c r="K391" i="1"/>
  <c r="O391" i="1" s="1"/>
  <c r="G366" i="1"/>
  <c r="K366" i="1"/>
  <c r="O366" i="1" s="1"/>
  <c r="G367" i="1"/>
  <c r="K367" i="1"/>
  <c r="O367" i="1" s="1"/>
  <c r="G368" i="1"/>
  <c r="K368" i="1"/>
  <c r="O368" i="1" s="1"/>
  <c r="G369" i="1"/>
  <c r="K369" i="1"/>
  <c r="O369" i="1" s="1"/>
  <c r="G370" i="1"/>
  <c r="K370" i="1"/>
  <c r="O370" i="1" s="1"/>
  <c r="G371" i="1"/>
  <c r="K371" i="1"/>
  <c r="O371" i="1" s="1"/>
  <c r="G372" i="1"/>
  <c r="K372" i="1"/>
  <c r="O372" i="1" s="1"/>
  <c r="G373" i="1"/>
  <c r="K373" i="1"/>
  <c r="O373" i="1" s="1"/>
  <c r="G374" i="1"/>
  <c r="K374" i="1"/>
  <c r="O374" i="1" s="1"/>
  <c r="G375" i="1"/>
  <c r="K375" i="1"/>
  <c r="O375" i="1" s="1"/>
  <c r="G376" i="1"/>
  <c r="K376" i="1"/>
  <c r="O376" i="1" s="1"/>
  <c r="G377" i="1"/>
  <c r="K377" i="1"/>
  <c r="O377" i="1" s="1"/>
  <c r="G378" i="1"/>
  <c r="K378" i="1"/>
  <c r="O378" i="1" s="1"/>
  <c r="G379" i="1"/>
  <c r="K379" i="1"/>
  <c r="O379" i="1" s="1"/>
  <c r="G380" i="1"/>
  <c r="K380" i="1"/>
  <c r="G381" i="1"/>
  <c r="K381" i="1"/>
  <c r="O381" i="1" s="1"/>
  <c r="G382" i="1"/>
  <c r="K382" i="1"/>
  <c r="O382" i="1" s="1"/>
  <c r="G365" i="1"/>
  <c r="K365" i="1"/>
  <c r="O365" i="1" s="1"/>
  <c r="K364" i="1"/>
  <c r="O364" i="1" s="1"/>
  <c r="G364" i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O157" i="1" s="1"/>
  <c r="K158" i="1"/>
  <c r="O158" i="1" s="1"/>
  <c r="K159" i="1"/>
  <c r="O159" i="1" s="1"/>
  <c r="K160" i="1"/>
  <c r="O160" i="1" s="1"/>
  <c r="K161" i="1"/>
  <c r="O161" i="1" s="1"/>
  <c r="K162" i="1"/>
  <c r="O162" i="1" s="1"/>
  <c r="K163" i="1"/>
  <c r="O163" i="1" s="1"/>
  <c r="K164" i="1"/>
  <c r="O164" i="1" s="1"/>
  <c r="K165" i="1"/>
  <c r="K166" i="1"/>
  <c r="O166" i="1" s="1"/>
  <c r="K167" i="1"/>
  <c r="O167" i="1" s="1"/>
  <c r="K168" i="1"/>
  <c r="O168" i="1" s="1"/>
  <c r="K169" i="1"/>
  <c r="O169" i="1" s="1"/>
  <c r="K170" i="1"/>
  <c r="K171" i="1"/>
  <c r="O171" i="1" s="1"/>
  <c r="K172" i="1"/>
  <c r="O172" i="1" s="1"/>
  <c r="K173" i="1"/>
  <c r="O173" i="1" s="1"/>
  <c r="K174" i="1"/>
  <c r="O174" i="1" s="1"/>
  <c r="K175" i="1"/>
  <c r="O175" i="1" s="1"/>
  <c r="K176" i="1"/>
  <c r="O176" i="1" s="1"/>
  <c r="K177" i="1"/>
  <c r="O177" i="1" s="1"/>
  <c r="K178" i="1"/>
  <c r="O178" i="1" s="1"/>
  <c r="K179" i="1"/>
  <c r="O179" i="1" s="1"/>
  <c r="K180" i="1"/>
  <c r="K181" i="1"/>
  <c r="K182" i="1"/>
  <c r="K183" i="1"/>
  <c r="O183" i="1" s="1"/>
  <c r="K184" i="1"/>
  <c r="O184" i="1" s="1"/>
  <c r="K185" i="1"/>
  <c r="O185" i="1" s="1"/>
  <c r="K186" i="1"/>
  <c r="O186" i="1" s="1"/>
  <c r="K187" i="1"/>
  <c r="O187" i="1" s="1"/>
  <c r="K188" i="1"/>
  <c r="O188" i="1" s="1"/>
  <c r="K189" i="1"/>
  <c r="O189" i="1" s="1"/>
  <c r="K190" i="1"/>
  <c r="O190" i="1" s="1"/>
  <c r="K191" i="1"/>
  <c r="O191" i="1" s="1"/>
  <c r="K192" i="1"/>
  <c r="O192" i="1" s="1"/>
  <c r="K193" i="1"/>
  <c r="K194" i="1"/>
  <c r="O194" i="1" s="1"/>
  <c r="K195" i="1"/>
  <c r="O195" i="1" s="1"/>
  <c r="K196" i="1"/>
  <c r="O196" i="1" s="1"/>
  <c r="K197" i="1"/>
  <c r="O197" i="1" s="1"/>
  <c r="K198" i="1"/>
  <c r="O198" i="1" s="1"/>
  <c r="K199" i="1"/>
  <c r="O199" i="1" s="1"/>
  <c r="K200" i="1"/>
  <c r="O200" i="1" s="1"/>
  <c r="K201" i="1"/>
  <c r="O201" i="1" s="1"/>
  <c r="K202" i="1"/>
  <c r="O202" i="1" s="1"/>
  <c r="K203" i="1"/>
  <c r="O203" i="1" s="1"/>
  <c r="K204" i="1"/>
  <c r="O204" i="1" s="1"/>
  <c r="K205" i="1"/>
  <c r="O205" i="1" s="1"/>
  <c r="K206" i="1"/>
  <c r="O206" i="1" s="1"/>
  <c r="K207" i="1"/>
  <c r="O207" i="1" s="1"/>
  <c r="K208" i="1"/>
  <c r="O208" i="1" s="1"/>
  <c r="K209" i="1"/>
  <c r="O209" i="1" s="1"/>
  <c r="K210" i="1"/>
  <c r="O210" i="1" s="1"/>
  <c r="K211" i="1"/>
  <c r="O211" i="1" s="1"/>
  <c r="K212" i="1"/>
  <c r="O212" i="1" s="1"/>
  <c r="K213" i="1"/>
  <c r="O213" i="1" s="1"/>
  <c r="K214" i="1"/>
  <c r="O214" i="1" s="1"/>
  <c r="K215" i="1"/>
  <c r="O215" i="1" s="1"/>
  <c r="K216" i="1"/>
  <c r="K217" i="1"/>
  <c r="O217" i="1" s="1"/>
  <c r="K218" i="1"/>
  <c r="O218" i="1" s="1"/>
  <c r="K219" i="1"/>
  <c r="O219" i="1" s="1"/>
  <c r="K220" i="1"/>
  <c r="O220" i="1" s="1"/>
  <c r="K221" i="1"/>
  <c r="O221" i="1" s="1"/>
  <c r="K222" i="1"/>
  <c r="K223" i="1"/>
  <c r="O223" i="1" s="1"/>
  <c r="K224" i="1"/>
  <c r="O224" i="1" s="1"/>
  <c r="K225" i="1"/>
  <c r="O225" i="1" s="1"/>
  <c r="K226" i="1"/>
  <c r="O226" i="1" s="1"/>
  <c r="K227" i="1"/>
  <c r="O227" i="1" s="1"/>
  <c r="K228" i="1"/>
  <c r="O228" i="1" s="1"/>
  <c r="K229" i="1"/>
  <c r="O229" i="1" s="1"/>
  <c r="K230" i="1"/>
  <c r="O230" i="1" s="1"/>
  <c r="K231" i="1"/>
  <c r="O231" i="1" s="1"/>
  <c r="K232" i="1"/>
  <c r="O232" i="1" s="1"/>
  <c r="K233" i="1"/>
  <c r="O233" i="1" s="1"/>
  <c r="K234" i="1"/>
  <c r="O234" i="1" s="1"/>
  <c r="K235" i="1"/>
  <c r="O235" i="1" s="1"/>
  <c r="K236" i="1"/>
  <c r="O236" i="1" s="1"/>
  <c r="K237" i="1"/>
  <c r="O237" i="1" s="1"/>
  <c r="K238" i="1"/>
  <c r="K239" i="1"/>
  <c r="K240" i="1"/>
  <c r="K241" i="1"/>
  <c r="K242" i="1"/>
  <c r="K243" i="1"/>
  <c r="K244" i="1"/>
  <c r="K245" i="1"/>
  <c r="O245" i="1" s="1"/>
  <c r="K246" i="1"/>
  <c r="O246" i="1" s="1"/>
  <c r="K247" i="1"/>
  <c r="O247" i="1" s="1"/>
  <c r="K248" i="1"/>
  <c r="O248" i="1" s="1"/>
  <c r="K249" i="1"/>
  <c r="O249" i="1" s="1"/>
  <c r="K250" i="1"/>
  <c r="O250" i="1" s="1"/>
  <c r="K251" i="1"/>
  <c r="O251" i="1" s="1"/>
  <c r="K252" i="1"/>
  <c r="O252" i="1" s="1"/>
  <c r="K253" i="1"/>
  <c r="O253" i="1" s="1"/>
  <c r="K254" i="1"/>
  <c r="O254" i="1" s="1"/>
  <c r="K255" i="1"/>
  <c r="O255" i="1" s="1"/>
  <c r="K256" i="1"/>
  <c r="K257" i="1"/>
  <c r="K258" i="1"/>
  <c r="O258" i="1" s="1"/>
  <c r="K259" i="1"/>
  <c r="K260" i="1"/>
  <c r="O260" i="1" s="1"/>
  <c r="K261" i="1"/>
  <c r="O261" i="1" s="1"/>
  <c r="K262" i="1"/>
  <c r="K263" i="1"/>
  <c r="O263" i="1" s="1"/>
  <c r="K264" i="1"/>
  <c r="O264" i="1" s="1"/>
  <c r="K265" i="1"/>
  <c r="K266" i="1"/>
  <c r="O266" i="1" s="1"/>
  <c r="K267" i="1"/>
  <c r="O267" i="1" s="1"/>
  <c r="K268" i="1"/>
  <c r="K269" i="1"/>
  <c r="O269" i="1" s="1"/>
  <c r="K270" i="1"/>
  <c r="O270" i="1" s="1"/>
  <c r="K271" i="1"/>
  <c r="O271" i="1" s="1"/>
  <c r="K272" i="1"/>
  <c r="O272" i="1" s="1"/>
  <c r="K273" i="1"/>
  <c r="O273" i="1" s="1"/>
  <c r="K274" i="1"/>
  <c r="O274" i="1" s="1"/>
  <c r="K275" i="1"/>
  <c r="O275" i="1" s="1"/>
  <c r="K276" i="1"/>
  <c r="O276" i="1" s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O222" i="1"/>
  <c r="O363" i="1" l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D180" i="1" l="1"/>
  <c r="E180" i="1"/>
  <c r="F183" i="21" l="1"/>
  <c r="F181" i="21"/>
  <c r="G180" i="21"/>
  <c r="F180" i="21"/>
  <c r="F179" i="21"/>
  <c r="G175" i="21"/>
  <c r="F175" i="21"/>
  <c r="G173" i="21"/>
  <c r="F173" i="21"/>
  <c r="G172" i="21"/>
  <c r="F172" i="21"/>
  <c r="F171" i="21"/>
  <c r="F169" i="21"/>
  <c r="G168" i="21"/>
  <c r="F168" i="21"/>
  <c r="F167" i="21"/>
  <c r="F166" i="21"/>
  <c r="G164" i="21"/>
  <c r="F164" i="21"/>
  <c r="G162" i="21"/>
  <c r="F162" i="21"/>
  <c r="G161" i="21"/>
  <c r="F161" i="21"/>
  <c r="G160" i="21"/>
  <c r="F160" i="21"/>
  <c r="G159" i="21"/>
  <c r="F159" i="21"/>
  <c r="G157" i="21"/>
  <c r="F157" i="21"/>
  <c r="F152" i="21"/>
  <c r="F147" i="21"/>
  <c r="F145" i="21"/>
  <c r="F143" i="21"/>
  <c r="F141" i="21"/>
  <c r="G140" i="21"/>
  <c r="F140" i="21"/>
  <c r="G139" i="21"/>
  <c r="F139" i="21"/>
  <c r="G138" i="21"/>
  <c r="F138" i="21"/>
  <c r="G136" i="21"/>
  <c r="F136" i="21"/>
  <c r="G133" i="21"/>
  <c r="F133" i="21"/>
  <c r="G132" i="21"/>
  <c r="F132" i="21"/>
  <c r="G129" i="21"/>
  <c r="F129" i="21"/>
  <c r="F128" i="21"/>
  <c r="F105" i="21"/>
  <c r="F103" i="21"/>
  <c r="F101" i="21"/>
  <c r="F100" i="21"/>
  <c r="F98" i="21"/>
  <c r="F97" i="21"/>
  <c r="G96" i="21"/>
  <c r="F96" i="21"/>
  <c r="G95" i="21"/>
  <c r="F95" i="21"/>
  <c r="F94" i="21"/>
  <c r="G88" i="21"/>
  <c r="F88" i="21"/>
  <c r="F85" i="21"/>
  <c r="F84" i="21"/>
  <c r="F82" i="21"/>
  <c r="F81" i="21"/>
  <c r="F80" i="21"/>
  <c r="G76" i="21"/>
  <c r="F76" i="21"/>
  <c r="F72" i="21"/>
  <c r="G71" i="21"/>
  <c r="F71" i="21"/>
  <c r="F70" i="21"/>
  <c r="G67" i="21"/>
  <c r="F67" i="21"/>
  <c r="F66" i="21"/>
  <c r="F65" i="21"/>
  <c r="F63" i="21"/>
  <c r="F62" i="21"/>
  <c r="G61" i="21"/>
  <c r="F61" i="21"/>
  <c r="F60" i="21"/>
  <c r="G59" i="21"/>
  <c r="F59" i="21"/>
  <c r="G58" i="21"/>
  <c r="F58" i="21"/>
  <c r="G57" i="21"/>
  <c r="F57" i="21"/>
  <c r="F55" i="21"/>
  <c r="G54" i="21"/>
  <c r="F54" i="21"/>
  <c r="G53" i="21"/>
  <c r="F53" i="21"/>
  <c r="G51" i="21"/>
  <c r="F51" i="21"/>
  <c r="G50" i="21"/>
  <c r="F50" i="21"/>
  <c r="G49" i="21"/>
  <c r="F49" i="21"/>
  <c r="G48" i="21"/>
  <c r="F48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F36" i="21"/>
  <c r="G35" i="21"/>
  <c r="F35" i="21"/>
  <c r="G34" i="21"/>
  <c r="F34" i="21"/>
  <c r="G33" i="21"/>
  <c r="F33" i="21"/>
  <c r="G32" i="21"/>
  <c r="F32" i="21"/>
  <c r="F30" i="21"/>
  <c r="F28" i="21"/>
  <c r="F27" i="21"/>
  <c r="G25" i="21"/>
  <c r="F25" i="21"/>
  <c r="G24" i="21"/>
  <c r="F24" i="21"/>
  <c r="F23" i="21"/>
  <c r="G22" i="21"/>
  <c r="F22" i="21"/>
  <c r="G21" i="21"/>
  <c r="F21" i="21"/>
  <c r="F18" i="21"/>
  <c r="F17" i="21"/>
  <c r="G16" i="21"/>
  <c r="F16" i="21"/>
  <c r="G15" i="21"/>
  <c r="F15" i="21"/>
  <c r="F13" i="21"/>
  <c r="F12" i="21"/>
  <c r="E4" i="21"/>
  <c r="G3" i="21" s="1"/>
  <c r="J90" i="21" l="1"/>
  <c r="J90" i="2" l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65" i="1"/>
  <c r="O170" i="1"/>
  <c r="O180" i="1"/>
  <c r="O181" i="1"/>
  <c r="O182" i="1"/>
  <c r="O193" i="1"/>
  <c r="O216" i="1"/>
  <c r="O238" i="1"/>
  <c r="O239" i="1"/>
  <c r="O240" i="1"/>
  <c r="O241" i="1"/>
  <c r="O242" i="1"/>
  <c r="O243" i="1"/>
  <c r="O244" i="1"/>
  <c r="O256" i="1"/>
  <c r="O257" i="1"/>
  <c r="O259" i="1"/>
  <c r="O262" i="1"/>
  <c r="O265" i="1"/>
  <c r="O268" i="1"/>
  <c r="O277" i="1"/>
  <c r="O2" i="1"/>
  <c r="G166" i="2"/>
  <c r="F166" i="2"/>
  <c r="F165" i="2"/>
  <c r="F164" i="2"/>
  <c r="F163" i="2"/>
  <c r="F162" i="2"/>
  <c r="F161" i="2"/>
  <c r="G160" i="2"/>
  <c r="F160" i="2"/>
  <c r="G159" i="2"/>
  <c r="F159" i="2"/>
  <c r="E158" i="2"/>
  <c r="F158" i="2" s="1"/>
  <c r="G157" i="2"/>
  <c r="F157" i="2"/>
  <c r="G156" i="2"/>
  <c r="F156" i="2"/>
  <c r="F155" i="2"/>
  <c r="E154" i="2"/>
  <c r="F154" i="2" s="1"/>
  <c r="F153" i="2"/>
  <c r="F152" i="2"/>
  <c r="E152" i="2"/>
  <c r="E151" i="2"/>
  <c r="F151" i="2" s="1"/>
  <c r="G150" i="2"/>
  <c r="F150" i="2"/>
  <c r="G149" i="2"/>
  <c r="F149" i="2"/>
  <c r="G148" i="2"/>
  <c r="F148" i="2"/>
  <c r="G147" i="2"/>
  <c r="F147" i="2"/>
  <c r="G146" i="2"/>
  <c r="F146" i="2"/>
  <c r="G145" i="2"/>
  <c r="F145" i="2"/>
  <c r="F144" i="2"/>
  <c r="E143" i="2"/>
  <c r="F143" i="2" s="1"/>
  <c r="G142" i="2"/>
  <c r="F142" i="2"/>
  <c r="G141" i="2"/>
  <c r="F141" i="2"/>
  <c r="E140" i="2"/>
  <c r="F140" i="2" s="1"/>
  <c r="G139" i="2"/>
  <c r="F139" i="2"/>
  <c r="F138" i="2"/>
  <c r="G137" i="2"/>
  <c r="F137" i="2"/>
  <c r="G136" i="2"/>
  <c r="F136" i="2"/>
  <c r="G135" i="2"/>
  <c r="F135" i="2"/>
  <c r="G134" i="2"/>
  <c r="F134" i="2"/>
  <c r="G133" i="2"/>
  <c r="F133" i="2"/>
  <c r="E132" i="2"/>
  <c r="F132" i="2" s="1"/>
  <c r="G131" i="2"/>
  <c r="F131" i="2"/>
  <c r="E130" i="2"/>
  <c r="F130" i="2" s="1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E116" i="2"/>
  <c r="F116" i="2" s="1"/>
  <c r="G115" i="2"/>
  <c r="F115" i="2"/>
  <c r="G114" i="2"/>
  <c r="F114" i="2"/>
  <c r="G113" i="2"/>
  <c r="F113" i="2"/>
  <c r="G112" i="2"/>
  <c r="F112" i="2"/>
  <c r="F111" i="2"/>
  <c r="E111" i="2"/>
  <c r="G110" i="2"/>
  <c r="F110" i="2"/>
  <c r="F109" i="2"/>
  <c r="G108" i="2"/>
  <c r="F108" i="2"/>
  <c r="G107" i="2"/>
  <c r="F107" i="2"/>
  <c r="G106" i="2"/>
  <c r="F106" i="2"/>
  <c r="G105" i="2"/>
  <c r="F105" i="2"/>
  <c r="G104" i="2"/>
  <c r="F104" i="2"/>
  <c r="E103" i="2"/>
  <c r="F103" i="2" s="1"/>
  <c r="G102" i="2"/>
  <c r="F102" i="2"/>
  <c r="G101" i="2"/>
  <c r="F101" i="2"/>
  <c r="G100" i="2"/>
  <c r="F100" i="2"/>
  <c r="G99" i="2"/>
  <c r="F99" i="2"/>
  <c r="E98" i="2"/>
  <c r="F98" i="2" s="1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E88" i="2"/>
  <c r="F88" i="2" s="1"/>
  <c r="G87" i="2"/>
  <c r="F87" i="2"/>
  <c r="G86" i="2"/>
  <c r="F86" i="2"/>
  <c r="G85" i="2"/>
  <c r="F85" i="2"/>
  <c r="F84" i="2"/>
  <c r="G83" i="2"/>
  <c r="F83" i="2"/>
  <c r="F82" i="2"/>
  <c r="E81" i="2"/>
  <c r="F81" i="2" s="1"/>
  <c r="E80" i="2"/>
  <c r="F80" i="2" s="1"/>
  <c r="G79" i="2"/>
  <c r="F79" i="2"/>
  <c r="E78" i="2"/>
  <c r="F78" i="2" s="1"/>
  <c r="E77" i="2"/>
  <c r="F77" i="2" s="1"/>
  <c r="E76" i="2"/>
  <c r="F76" i="2" s="1"/>
  <c r="G75" i="2"/>
  <c r="F75" i="2"/>
  <c r="G74" i="2"/>
  <c r="F74" i="2"/>
  <c r="E73" i="2"/>
  <c r="F73" i="2" s="1"/>
  <c r="G72" i="2"/>
  <c r="F72" i="2"/>
  <c r="F71" i="2"/>
  <c r="F70" i="2"/>
  <c r="E69" i="2"/>
  <c r="F69" i="2" s="1"/>
  <c r="E68" i="2"/>
  <c r="F68" i="2" s="1"/>
  <c r="E67" i="2"/>
  <c r="F67" i="2" s="1"/>
  <c r="F66" i="2"/>
  <c r="E65" i="2"/>
  <c r="F65" i="2" s="1"/>
  <c r="F64" i="2"/>
  <c r="E63" i="2"/>
  <c r="F63" i="2" s="1"/>
  <c r="G62" i="2"/>
  <c r="F62" i="2"/>
  <c r="E62" i="2"/>
  <c r="F61" i="2"/>
  <c r="G60" i="2"/>
  <c r="F60" i="2"/>
  <c r="E60" i="2"/>
  <c r="G59" i="2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G49" i="2"/>
  <c r="F49" i="2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G27" i="2"/>
  <c r="F27" i="2"/>
  <c r="E27" i="2"/>
  <c r="E26" i="2"/>
  <c r="F26" i="2" s="1"/>
  <c r="G25" i="2"/>
  <c r="F25" i="2"/>
  <c r="E24" i="2"/>
  <c r="F24" i="2" s="1"/>
  <c r="F23" i="2"/>
  <c r="E23" i="2"/>
  <c r="E22" i="2"/>
  <c r="F22" i="2" s="1"/>
  <c r="F21" i="2"/>
  <c r="E21" i="2"/>
  <c r="E20" i="2"/>
  <c r="F20" i="2" s="1"/>
  <c r="F19" i="2"/>
  <c r="E19" i="2"/>
  <c r="E18" i="2"/>
  <c r="F18" i="2" s="1"/>
  <c r="F17" i="2"/>
  <c r="E17" i="2"/>
  <c r="E16" i="2"/>
  <c r="F16" i="2" s="1"/>
  <c r="F15" i="2"/>
  <c r="E15" i="2"/>
  <c r="E14" i="2"/>
  <c r="F14" i="2" s="1"/>
  <c r="F13" i="2"/>
  <c r="E13" i="2"/>
  <c r="E12" i="2"/>
  <c r="F12" i="2" s="1"/>
  <c r="E4" i="2"/>
  <c r="G3" i="2" s="1"/>
</calcChain>
</file>

<file path=xl/sharedStrings.xml><?xml version="1.0" encoding="utf-8"?>
<sst xmlns="http://schemas.openxmlformats.org/spreadsheetml/2006/main" count="6561" uniqueCount="648">
  <si>
    <t>PROCESSO</t>
  </si>
  <si>
    <t>PREGÃO</t>
  </si>
  <si>
    <t>VIGÊNCIA</t>
  </si>
  <si>
    <t>CENTRO DE CUSTO</t>
  </si>
  <si>
    <t>LOCAL</t>
  </si>
  <si>
    <t>ITEM</t>
  </si>
  <si>
    <t>DESCRIÇÃO DO PRODUTO</t>
  </si>
  <si>
    <t>QUANT. DO RELATÓRIO</t>
  </si>
  <si>
    <t>VALOR UNITÁRIO</t>
  </si>
  <si>
    <t>DATA DO EMPENHO</t>
  </si>
  <si>
    <t>Nº  NOTA DE EMPENHO</t>
  </si>
  <si>
    <t>VALOR EMPENHADO</t>
  </si>
  <si>
    <t>DATA ENTREGA NO ALMOXARIFADO</t>
  </si>
  <si>
    <t>Nº DA NOTA FISCAL/ RECIBO</t>
  </si>
  <si>
    <t>ELEMENTO</t>
  </si>
  <si>
    <t>SUBELEMENTO</t>
  </si>
  <si>
    <t>STATUS</t>
  </si>
  <si>
    <t>23083.008818/2015-98</t>
  </si>
  <si>
    <t>CTUR</t>
  </si>
  <si>
    <t>DATA ENTRADA DMSA</t>
  </si>
  <si>
    <t>CONTROLE DE ESTOQUE DE ATA DE REGISTRO DE PREÇOS</t>
  </si>
  <si>
    <t>Processo:</t>
  </si>
  <si>
    <t>Pregão:</t>
  </si>
  <si>
    <t>14/2016</t>
  </si>
  <si>
    <t>Validade:</t>
  </si>
  <si>
    <t>DIAS P/ VECTO.:</t>
  </si>
  <si>
    <t>Data de hoje:</t>
  </si>
  <si>
    <r>
      <t xml:space="preserve">PEDIDOS EM: </t>
    </r>
    <r>
      <rPr>
        <b/>
        <sz val="12"/>
        <color rgb="FFFF0000"/>
        <rFont val="Arial"/>
        <family val="2"/>
      </rPr>
      <t>XXX/XXX/XXX (2015)</t>
    </r>
  </si>
  <si>
    <t>Assunto:</t>
  </si>
  <si>
    <t>Aquisição de material do grupo 30.35: copos, cubas, cubeta de quartzo, e etc</t>
  </si>
  <si>
    <t>(GRUPO 30.35)</t>
  </si>
  <si>
    <t>Nº Item</t>
  </si>
  <si>
    <t>Firma</t>
  </si>
  <si>
    <t>Breve Descrição</t>
  </si>
  <si>
    <t>Quantidade Licitada</t>
  </si>
  <si>
    <t>Quantidade Empenhada</t>
  </si>
  <si>
    <t>Saldo Atual</t>
  </si>
  <si>
    <t>Posterior Conferência</t>
  </si>
  <si>
    <t>Valor</t>
  </si>
  <si>
    <t>TIGELA, Almofariz de Ágata com pistilo de 100 ml</t>
  </si>
  <si>
    <t>TIGELA, Almofariz de Ágata com pistilo de 200 ml</t>
  </si>
  <si>
    <t>Aparelho para determinação de clevenger óleos essenciais 1000ml</t>
  </si>
  <si>
    <t>Balão de fundo chato para extrator de Soxhlet, junta 24/40, capacidade 250 ml.</t>
  </si>
  <si>
    <t>Balão fundo redondo com junta 14/20 capacidade 125 ml</t>
  </si>
  <si>
    <t> Balão fundo redondo com junta 14/20 capacidade 25 ml</t>
  </si>
  <si>
    <t>Balão fundo redondo com junta 14/20 capacidade 50 ml</t>
  </si>
  <si>
    <t>Balão fundo redondo com junta 24/40 capacidade 100 ml</t>
  </si>
  <si>
    <t>Balão fundo redondo com junta 24/40 capacidade 250 ml</t>
  </si>
  <si>
    <t>Balão fundo redondo com junta 24/40 capacidade 500 ml</t>
  </si>
  <si>
    <t>Balão fundo redondo com junta 24/40 capacidade 1000 ml</t>
  </si>
  <si>
    <t> Balão laboratório, material vidro borosilicato; tipo erlenmeyer graduado; capacidade 250; quantidade bocas 1; características adicionais gargalo curto; tipo junta esmerilhada</t>
  </si>
  <si>
    <t>Balão laboratório; material vidro borossilicato; tipo erlenmeyer graduado; capacidade 500; quantidade bocas 1; características adicionais gargalo curto; tipo junta esmerilhada</t>
  </si>
  <si>
    <t>Balão laboratório; material vidro borossilicato transparente, tipo fundo chato, capacidade 100, comprimento junta 40, diâmetro junta 24, quantidade bocas 1</t>
  </si>
  <si>
    <t>Balão laboratório; material vidro borossilicato transparente, tipo fundo chato, capacidade 500, comprimento junta 40, diâmetro junta 24, quantidade bocas 1</t>
  </si>
  <si>
    <t>Balão laboratório; material vidro borossilicato transparente, tipo fundo redondo, capacidade 500, comprimento junta 15, diâmetro junta 34, quantidade bocas 1, aplicação uso laboratorial, características adicionais junta fêmea esférica esmerilhada</t>
  </si>
  <si>
    <t>Balão laboratório; material vidro borossilicato transparente, tipo fundo redondo, capacidade 250, comprimento junta 15, diâmetro junta 34, quantidade bocas 1, aplicação uso laboratorial, características adicionais junta fêmea esférica esmerilhada</t>
  </si>
  <si>
    <t>Balão laboratório; material vidro borossilicato, tipo fundo chato, capacidade 1.000, quantidade bocas 1, aplicação uso laboratorial, características adicionais gargalo curto, tipo junta esmerilhada</t>
  </si>
  <si>
    <t>Balão laboratório; material vidro borossilicato transparente, tipo fundo chato, capacidade 50, comprimento junta 22, diâmetro junta 19, quantidade bocas 2, aplicação síntese ciência orgânica, características adicionais parede reforçada para vácuo</t>
  </si>
  <si>
    <t>Balão volumétrico de borossilicato de fundo chato com tampa; 200 ml</t>
  </si>
  <si>
    <t>Balão volumétrico graduado de vidro borossilicato com boca esmerilhada tampa de polipropileno; 2000 ml</t>
  </si>
  <si>
    <t>Balão volumétrico graduado de vidro borossilicato com boca esmerilhada tampa de polipropileno; 1000 ml</t>
  </si>
  <si>
    <t>Balão volumétrico graduado de vidro borossilicato com boca esmerilhada tampa de polipropileno; 100 ml</t>
  </si>
  <si>
    <t> Balão volumétrico graduado de vidro borossilicato com boca esmerilhada tampa de polipropileno; 25 ml</t>
  </si>
  <si>
    <t>Balão volumétrico graduado de vidro borossilicato com boca esmerilhada tampa de polipropileno; 10 ml</t>
  </si>
  <si>
    <t>Balão volumétrico graduado de vidro borossilicato com boca esmerilhada tampa de polipropileno; 250 ml</t>
  </si>
  <si>
    <t>Balão volumétrico graduado de vidro borossilicato com boca esmerilhada tampa de polipropileno; 50ml</t>
  </si>
  <si>
    <t>Balão volumétrico graduado em vidro com rolha de poiletileno capacidade; 500 ml</t>
  </si>
  <si>
    <t>Balão volumétrico, capacidade 50ml, material vidro, tipo saída gargalo, material tampa polietileno</t>
  </si>
  <si>
    <t>Balão volumétrico, material vidro borossilicato, tipo saída gargalo, capacidade 1000, modelo fundo chato.</t>
  </si>
  <si>
    <t>Bandeja em polietileno - tamanho 20x30x6 cm - 2,5 litros.</t>
  </si>
  <si>
    <t>Bandeja em polietileno - tamanho 28x42x7,5 cm - 8 litros</t>
  </si>
  <si>
    <t>Barra magnética angular 7 x 22 mm</t>
  </si>
  <si>
    <t>Barra magnética angular 8 x 38 mm</t>
  </si>
  <si>
    <t>Barra magnética angular 9 x 50 mm.</t>
  </si>
  <si>
    <t>Barra magnética lisa 0,5 x 15 mm sem anel</t>
  </si>
  <si>
    <t>Barra magnética lisa 0,7 x 30 mm sem anel</t>
  </si>
  <si>
    <t>Barra magnética lisa 10 x 50 mm sem anel.</t>
  </si>
  <si>
    <t>Barra magnética lisa 3 x 6 mm sem anel.</t>
  </si>
  <si>
    <t>Barra magnética lisa 5 x 15 mm sem anel</t>
  </si>
  <si>
    <t>Barra magnética lisa 9 x 50 mm sem anel.</t>
  </si>
  <si>
    <t>Barrilete de PVC capacidade 20 L com torneira</t>
  </si>
  <si>
    <t>Barrilete de PVC capacidade 30 L</t>
  </si>
  <si>
    <t>Bastão de vidro 07 cm, diâmetro 04 mm</t>
  </si>
  <si>
    <t>Bastão de vidro 07 cm, diâmetro 06 mm.</t>
  </si>
  <si>
    <t>Bastão de vidro 30 cm, diâmetro 08 mm.</t>
  </si>
  <si>
    <t>Bastão agitador fluídos; material vidro; comprimento 300 mm; diâmetro 10 mm; aplicação laboratório; características adicionais pontas lapidadas.</t>
  </si>
  <si>
    <t>Copo tipo Becker, material vidro, graduação graduado, capacidade 1000ml, formato forma baixa, adicional com orla.</t>
  </si>
  <si>
    <t>Copo tipo Becker, material vidro, graduação graduado, capacidade 200ml, formato forma alta, adicional com orla e bico</t>
  </si>
  <si>
    <t>Copo tipo Becker, material vidro, graduação graduado, capacidade 250ml, formato forma baixa, adicional com orla.</t>
  </si>
  <si>
    <t xml:space="preserve">        </t>
  </si>
  <si>
    <t>Copo tipo Becker, material vidro, graduação graduado, capacidade 400ml, formato forma baixa, adicional com orla.</t>
  </si>
  <si>
    <t>Copo tipo Becker, material vidro, graduação graduado, capacidade 500, formato forma alta, adicional com orla e bico.</t>
  </si>
  <si>
    <t>Copo tipo Becker, material vidro, graduação graduado, capacidade 600ml, formato forma baixa, adicional com orla</t>
  </si>
  <si>
    <t>Bolas (esferas) de porcelana para moinho de bolas dimensão 1 polegada</t>
  </si>
  <si>
    <t>Bolas (esferas) de porcelana para moinho de bolas dimensão 1/2 polegada</t>
  </si>
  <si>
    <t>Bureta, material vidro borossilicato; aplicação uso laboratorial; características adicionais com torneira teflon e divisão 1/100; capacidade 25 ml</t>
  </si>
  <si>
    <t>Bureta; material vidro borossilicato; aplicação uso laboratorial; características adicionais com torneira teflon e divisão 1/100; capacidade 50 ml.</t>
  </si>
  <si>
    <t>Bureta; material vidro borossilicato; aplicação uso laboratorial; características adicionais com torneira teflon e divisão 1/100; capacidade 10 ml</t>
  </si>
  <si>
    <t>Bureta; material vidro; aplicação aparelho acidimetro de dornic; características adicionais graduada em 2ml; intervalo de 0,01ml e 0,05ml</t>
  </si>
  <si>
    <t>Cadinho em porcelana forma alta de 150 ml</t>
  </si>
  <si>
    <t>Cadinho em porcelana forma alta de 250 ml</t>
  </si>
  <si>
    <t>Cadinho em porcelana forma alta de 45 ml</t>
  </si>
  <si>
    <t>Cadinho em porcelana forma baixa de 20 ml</t>
  </si>
  <si>
    <t>Cadinho em porcelana forma baixa de 50 ml.</t>
  </si>
  <si>
    <t>Cadinho em porcelana forma média de 100 ml.</t>
  </si>
  <si>
    <t>Cadinho em porcelana forma média de 40 ml.</t>
  </si>
  <si>
    <t>Cadinho filtrante em vidro boro silicato, com placa Schott, porosidade nº 1, capacidade 50 ml.</t>
  </si>
  <si>
    <t>Caixa mini-isolador de camundongo (fundo), caixa confeccionada em polisulfona, nas medidas: 31cm de comprimento x20cm de largura x 13cm de altura, com válvula em aço inox para injeção de ar (fundo mini-isolador de camundongos).</t>
  </si>
  <si>
    <t>Caixa porta lâmina de laboratório capacidade para 100 lâminas, em plástico</t>
  </si>
  <si>
    <t>Coluna para cromatografia em vidro; com torneira de PTFE; diâmetro de 15 mm x 300 de comprimento; sem placa porosa</t>
  </si>
  <si>
    <t>Condensador em vidro tipo bola de 200 mm com 2 juntas esmerilhadas.</t>
  </si>
  <si>
    <t>Condensador em vidro tipo reto de 300 mm com 2 juntas esmerilhadas.</t>
  </si>
  <si>
    <t>Copo Becker em polietileno graduado capacidade 2000 ml</t>
  </si>
  <si>
    <t>Copo Becker em vidro graduado capacidade 1000 ml</t>
  </si>
  <si>
    <t>Copo Becker em vidro graduado capacidade 100 ml.</t>
  </si>
  <si>
    <t>Copo Becker em vidro graduado capacidade 25 ml</t>
  </si>
  <si>
    <t>Copo Becker em vidro graduado capacidade 250 ml</t>
  </si>
  <si>
    <t>Copo Becker em vidro graduado capacidade 50 ml.</t>
  </si>
  <si>
    <t>Copo Becker, material vidro, graduação graduado, capacidade 1000 ml, formato forma alta, adicional com orla e bico</t>
  </si>
  <si>
    <t>Copo Becker, material vidro, graduação graduado, capacidade 100 ml, formato forma alta, adicional com orla e bico.</t>
  </si>
  <si>
    <t>Copo Becker, material vidro, graduação graduado, capacidade 50 ml, formato forma alta, adicional com orla e bico</t>
  </si>
  <si>
    <t>Copo berzelius; forma alta; em vidro graduado capacidade 500 ml.</t>
  </si>
  <si>
    <t>Copo tipo Becker, material plástico transparente, graduação mililitros, capacidade 1.000, trasnmitância transparente.</t>
  </si>
  <si>
    <t>Copo tipo Becker, material plástico transparente, graduação mililitros, capacidade 250, trasnmitância transparente.</t>
  </si>
  <si>
    <t>Copo tipo Becker, material vidro, graduação graduado, capacidade 100, formato forma alta, adicional com orla e bico</t>
  </si>
  <si>
    <t>Copo tipo Becker, material vidro, graduação graduado, capacidade 1000ml, formato forma baixa, adicional com orla</t>
  </si>
  <si>
    <t>Copo tipo Becker, material vidro, graduação graduado, capacidade 200ml, formato forma alta, adicional com orla e bico.</t>
  </si>
  <si>
    <t>Copo tipo Becker, material vidro, graduação graduado, capacidade 250ml, formato forma baixa, adicional com orla</t>
  </si>
  <si>
    <t>Copo tipo Becker, material vidro, graduação graduado, capacidade 400ml, formato forma baixa, adicional com orla</t>
  </si>
  <si>
    <t>Copo tipo Becker, material vidro, graduação graduado, capacidade 500, formato forma alta, adicional com orla e bico</t>
  </si>
  <si>
    <t>Copo tipo Becker; em plástico polipropileno; autoclavável; capacidade de 600 ml</t>
  </si>
  <si>
    <t>Copo tipo Becker; em plástico polipropileno; autoclavável; capacidade de 150 ml</t>
  </si>
  <si>
    <t>Copo tipo Becker; em plástico polipropileno; graduação mililitros; capacidade 1.000; transmitância transparente</t>
  </si>
  <si>
    <t>Copo tipo Becker; em plástico polipropileno; graduação mililitros; capacidade 2.000; transmitância transparente.</t>
  </si>
  <si>
    <t>Copo tipo Becker; feito em polipropileno; forma alta; graduado; capacidade de 250 ml.</t>
  </si>
  <si>
    <t>Copo tipo Becker; feito em polipropileno; forma alta; graduado; capacidade de 50 ml.</t>
  </si>
  <si>
    <t>Copo tipo Becker; feito em vidro; forma alta; graduado; capacidade de 1000 ml.</t>
  </si>
  <si>
    <t>Copo tipo Becker; feito em vidro; forma alta; graduado; capacidade de 250 ml.</t>
  </si>
  <si>
    <t>Copo tipo Becker; feito em vidro; forma alta; graduado; capacidade de 600 ml.</t>
  </si>
  <si>
    <t>Copo tipo Becker; feito em vidro; forma baixa; graduado; capacidade de 1000 ml</t>
  </si>
  <si>
    <t>Copo; material polipropileno tipo Becker; graduação mililitros; capacidade 4.000; características adicionais forma baixa.</t>
  </si>
  <si>
    <t>Cubeta, material quartzo, formato quadrada, características adicionais com 2 faces polidas, com tampa, caminho ótico 10mm, capacidade 3,5, aplicação espectrofotômetro, faixa trabalho 190 a 2500 nm.</t>
  </si>
  <si>
    <t>Cubeta, material vidro ótico, formato retangular, características adicionais 2 faces polidas, tampa teflon, caminho ótico 10mm, largura 10, capacidade 3,5, aplicação espectroscopia, faixa trabalho 340 a 2600 nm.</t>
  </si>
  <si>
    <t>Dessecador em vidro de 200 mm com tampa; luva e placa de porcelana</t>
  </si>
  <si>
    <t> Dessecador; material vidro borossilicato; tipo vácuo, altura 220 mm; diâmetro interno 250 mm; características adicionais com luva; tampa e fundo de porcelana perfurada</t>
  </si>
  <si>
    <t>Dessecador; material vidro borossilicato; tipo vácuo; altura 220 mm; diâmetro interno 300 mm; características adicionais com luva; tampa e fundo de porcelana perfurada</t>
  </si>
  <si>
    <t>Dessecador; material vidro borossilicato; tipo vácuo; altura 310 mm; diâmetro interno 250 mm; características adicionais com luva; tampa de vidro e fundo de porcelana perfurada.</t>
  </si>
  <si>
    <t>Embalagem de vidro com tampa de metal para conservas capacidade 180g</t>
  </si>
  <si>
    <t>Embalagem de vidro com tampa de metal para conservas capacidade 600g.</t>
  </si>
  <si>
    <t>Eletrodo combinado universal de vidro, referência interna Ag/AgCl, para uso geral, com junção cerâmica.</t>
  </si>
  <si>
    <t>Escorredor vidros; material polipropileno branco; quantidade pinos 50; tipo parede / lavável; comprimento 100 cm; largura 50 cm; aplicação laboratorial.</t>
  </si>
  <si>
    <t>ESCOVA LABORATÓRIO, FORMATO CILÍNDRICA, MATERIAL CABO ARAME, MATERIAL CERDA CERDA EM CRINA DE CAVALO, DIÂMETRO 0,8 CM, COMPRIMENTO 20 CM, ACESSÓRIOS PONTAEM PINCEL</t>
  </si>
  <si>
    <t>Escova laboratório, formato cilíndrica, material cabo arame, material cerda cerda em crina de cavalo,diâmetro 12,comprimento 25, acessórios ponta em pincel.</t>
  </si>
  <si>
    <t>Escova para lavar vidrarias, com cerda de 120mm, pincel de 40mm, cabo de 250mm e diâmetro de 60mm, com cerdas 100% crina animal e haste de aço inoxidável</t>
  </si>
  <si>
    <t>Escova para lavar vidrarias, com cerda de 210mm, pincel de 40mm, cabo de 300mm e diâmetro de 80mm, com cerdas 100% crina animal e haste de aço inoxidável.</t>
  </si>
  <si>
    <t>Escova para lavar vidrarias, com cerda de 40mm, pincel de 25mm, cabo de 130mm e diâmetro de 8mm, com cerdas 100% crina animal e haste de aço inoxidável</t>
  </si>
  <si>
    <t>CLD</t>
  </si>
  <si>
    <t>Estilete largo, emborrachado, com trava automática, com lâmina de 25,4mm de largura e comprimento de 18,0 mm, tipo profissional, lâminas retraídas e travada, para evitar acidentes.</t>
  </si>
  <si>
    <t>Extrator laboratório, tipo Soxhlet, tipo junta esmerilhada intercambiável, altura total 655, diâmetro junta superior 45, comprimento junta superior 50, diâmetro junta inferior 24, comprimento junta inferior 40, capacidade balão 250</t>
  </si>
  <si>
    <t>Filtro laboratório, tipo cartucho, material ésteres de celulose, porosidade 0,2 uM + 0,45 uM, dimensões cerca de 35.</t>
  </si>
  <si>
    <t>Frasco de penicilina, bocal 20mm, capacidade 100 ml.</t>
  </si>
  <si>
    <t>Frasco de penicilina, bocal 20mm, capacidade 50 ml.</t>
  </si>
  <si>
    <t>Frasco de borosilicato graduado capacidade 100 ml.</t>
  </si>
  <si>
    <t>Frasco de borosilicato graduado capacidade 250 ml.</t>
  </si>
  <si>
    <t>Frasco de borosilicato graduado capacidade 500 ml.</t>
  </si>
  <si>
    <t>Frasco de Mariotte com torneira e boca esmerilhada de 1000 ml</t>
  </si>
  <si>
    <t>Frasco de vidro; material vidro borossilicato; tipo erlenmeyer; boca estreita; capacidade 125 ml; características adicionais graduado; com orla; aplicação uso laboratorial</t>
  </si>
  <si>
    <t>Frasco de vidro; material vidro borossilicato; tipo erlenmeyer; boca estreita; capacidade 500 ml; características adicionais graduado; com orla; aplicação uso laboratorial</t>
  </si>
  <si>
    <t>Frasco de vidro; material vidro borossilicato; tipo erlenmeyer; boca larga; capacidade 250 ml; características adicionais graduado; com orla; aplicação uso laboratorial</t>
  </si>
  <si>
    <t>Frasco de vidro; material vidro borossilicato; tipo erlenmeyer; boca larga; capacidade 1.000 ml; características adicionais graduado; com orla; parede reforçada; com tampa de porcelana; aplicação uso laboratorial</t>
  </si>
  <si>
    <t>Frasco em vidro graduado boca estreita capacidade 100 ml</t>
  </si>
  <si>
    <t>Frasco em vidro graduado boca estreita capacidade 125 ml</t>
  </si>
  <si>
    <t>Frasco em vidro graduado boca estreita capacidade 250 ml</t>
  </si>
  <si>
    <t>Frasco em vidro graduado boca estreita capacidade 50 ml</t>
  </si>
  <si>
    <t>Frasco em vidro graduado boca estreita capacidade 500 ml</t>
  </si>
  <si>
    <t>Frasco erlenmeyer em vidro boca estreita capacidade 100 ml</t>
  </si>
  <si>
    <t>Frasco erlenmeyer em vidro boca estreita capacidade 50 ml</t>
  </si>
  <si>
    <t>Frasco kitazato em vidro capacidade 125 ml</t>
  </si>
  <si>
    <t>Frasco kitazato em vidro capacidade 250 ml</t>
  </si>
  <si>
    <t>Frasco kitazato em vidro capacidade 500 ml</t>
  </si>
  <si>
    <t>Frasco de vidro, material vidro borossilicato, tipo kitazato, capacidade 125, características adicionais com graduação e saída superior, aplicação filtração a vácuo, diâmetro boca 24</t>
  </si>
  <si>
    <t>Frasco para reagente, material polipropileno, cor âmbar, autoclavável, com tampa rosca, capacidade 10 mililitros</t>
  </si>
  <si>
    <t>Frasco para reagente, material polipropileno, cor âmbar, autoclavável, com tampa rosca, capacidade 60 mililitros</t>
  </si>
  <si>
    <t>QUANT EMPENHADA</t>
  </si>
  <si>
    <t>Cálice, material vidro, tipo graduado, capacidade 1000 ml, adicional com orla e bico</t>
  </si>
  <si>
    <t>Cálice, material vidro, tipo graduado, capacidade 125 ml, adicional com orla ebico</t>
  </si>
  <si>
    <t>Cálice, material vidro, tipo graduado, capacidade 60 ml, adicional com orla e bico</t>
  </si>
  <si>
    <t>Cálice, material vidro, tipo graduado, capacidade 500 ml, adicional com orla ebico</t>
  </si>
  <si>
    <t>Bico de bünsen, material base em ferro, componentes com registro, altura cercade 15 cm</t>
  </si>
  <si>
    <t>Condensador, tipo tipo allihn, material vidro, tipo coluna coluna em bola, comprimento cerca de 40 cm, adicional com 1 junta</t>
  </si>
  <si>
    <t>Conjunto escova, aplicação limpeza de vidraria de laboratório</t>
  </si>
  <si>
    <t>Escova laboratório, formato cilíndrica, material cabo arame, material cerda cerda em crina de cavalo, diâmetro 2 cm, comprimento 25 cm, acessórios ponta em pincel</t>
  </si>
  <si>
    <t>Escova laboratório, formato cilíndrica, material cabo arame, material cerda cerda em crina de cavalo, diâmetro 3 cm, comprimento 11 cm, acessórios ponta em pincel</t>
  </si>
  <si>
    <t>Gral, material porcelana, capacidade cerca de 100 ml, acessórios com pistilo de porcelana</t>
  </si>
  <si>
    <t>Gral, material porcelana, capacidade cerca de 1700 ml, acessórios com pistilo de porcelana</t>
  </si>
  <si>
    <t>Gral, material porcelana, capacidade cerca de 300 ml, acessórios com pistilo de porcelana</t>
  </si>
  <si>
    <t>DATA ENTREGA ALMOXARIFADO</t>
  </si>
  <si>
    <t>QUANTID. SOLICITADA</t>
  </si>
  <si>
    <t xml:space="preserve">VALOR </t>
  </si>
  <si>
    <t>Total Geral</t>
  </si>
  <si>
    <t>Nº ENTRADA NO DMSA</t>
  </si>
  <si>
    <t>CLIQUE EM HABILITAR EDIÇÃO PARA ATIVAR O CONTEÚDO</t>
  </si>
  <si>
    <t>CLIQUE NO CENTRO DE CUSTO PARA VERIFICAR O ANDAMENTO DOS PEDIDOS REALIZADOS PELO QUIOSQUE DE COMPRAS EM 2016</t>
  </si>
  <si>
    <t>INSTITUTO DE ZOOTECNIA</t>
  </si>
  <si>
    <t xml:space="preserve"> QUANT EMPENHADA</t>
  </si>
  <si>
    <t>(vazio)</t>
  </si>
  <si>
    <t>23083.008817/2015-43</t>
  </si>
  <si>
    <t>25/2016</t>
  </si>
  <si>
    <t>JARRO DE PORCELANA 1 LITRO PARA MOINHO DE BOLAS.</t>
  </si>
  <si>
    <t>JARRO DE PORCELANA 5 LITROS PARA MOINHO DE BOLAS</t>
  </si>
  <si>
    <t>LÂMINA DE ESTILETE LARGO ( 25.4MM DE LARGURA E COMPRIMENTO DE 18,0 MM), DE DIAMANTE OU DE AÇO CARBONO EXTENSÍVEL, COM 10 UNIDADES</t>
  </si>
  <si>
    <t>Cancelado por inexistência de proposta</t>
  </si>
  <si>
    <t>LÂMINA LABORATÓRIO, MATERIAL VIDRO, APLICAÇÃO PREPARADA, DIMENSÕES CERCA DE 75X 25 MM, TIPO* CONJUNTO C/ ATÉ 100 PEÇAS, ADICIONAL PARA BOTÂNICA</t>
  </si>
  <si>
    <t>LÂMINA LABORATÓRIO, MATERIAL VIDRO, DIMENSÕES CERCA DE 75 X 25 MM, TIPO* LAPIDADA, TIPO BORDA BORDA FOSCA</t>
  </si>
  <si>
    <t>LAMÍNULA, MATERIAL VIDRO, DIMENSÕES CERCA DE 20 X 20 MM</t>
  </si>
  <si>
    <t xml:space="preserve"> LAMÍNULA DE VIDRO 24 X 60 M, CAIXA COM 100 UNIDADES</t>
  </si>
  <si>
    <t xml:space="preserve"> LAMÍNULA, MATERIAL VIDRO, DIMENSÕES CERCA DE 25 X 30 MM</t>
  </si>
  <si>
    <t>LAMÍNULA, MATERIAL VIDRO, FORMATO PARA CÂMARA DE CONTAGEM, DIMENSÕES CERCA DE 30 X 30. CAIXA COM 100 UND</t>
  </si>
  <si>
    <t>MICRO PIPETA MULTICANAL; 8 CANAIS; VARIÁVEL; PARA 300 L; VOLUME AJUSTÁVEL DE 20 A 300 UL; PRECISÃO: 98,5 A 99,4 %; VARIAÇÃO DE VOLUME / INCREMENTO: 5UL / 1UL; PONTEIRA COMPATÍVEL: 300 UL; CÓDIGO DE CORES PARA IDENTIFICAÇÃO; EJETOR AUTOMÁTICO DE PONTEIRA; VISOR NUMÉRICO PARA FÁCIL IDENTIFICAÇÃO DO VOLUME; PODE SER ESTERILIZADA COM RADIAÇÃO UV; TOTALMENTE AUTOCLAVÁVEL A 121ºC POR 20 MINUTOS; PISTÃO INTERNO CONSTRUÍDO EM AÇO INOX POLIDO, DE GRANDE DURABILIDADE</t>
  </si>
  <si>
    <t>MICRO PIPETA VARIÁVEL 100; 1000 L; MICROPIPETA MECÂNICA MONO CANAL VOLUME VARIÁVEL; EJETOR AUTOMÁTICO DE PONTEIRAS; VISOR NUMÉRICO PARA FÁCIL IDENTIFICAÇÃO DO VOLUME; PARTE INFERIOR; AUTOCLAVÁVEL; REMOVÍVEL</t>
  </si>
  <si>
    <t>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DESMONTÁVEL PARA QUE POSSA SER AUTOCLAVADA E/OU ESTERILIZADA; CALIBRADA ORIGINALMENTE DO FABRICANTE</t>
  </si>
  <si>
    <t>MICRO PIPETA VOLUME VARIÁVEL 0,5; 10 L; PARA DISPENSAÇÃO DE LÍQUIDOS E FLUÍDOS EM PEQUENOS VOLUMES; MONOCANAL VOLUME AJUSTÁVEL; VOLUME AJUSTÁVEL DE 0,5 A 10 UL; PRECISÃO EM 10 UL 99% E CV 0,4%; CONTROLE TOTAL DE VOLUME POR UM BOTÃO DE AJUSTE, TANTO PARA OPERAÇÕES DE ASPIRAÇÃO QUANTO PARA DISPENSAÇÃO; EJETOR AUTOMÁTICO DE PONTEIRAS; VISOR COM SISTEMA DE NUMERAÇÃO COM LEITURA EM DISPLAY; NÃO ELETRÔNICO; FORMATO ANATÔMICO; LEVE E ESTRUTURA TOTALMENTE EM PLÁSTICO ABS RESISTENTE; PARTE INFERIOR ROSQUEÁVEL E DESMONTÁVEL PARA QUE POSSA SER AUTOCLAVADA E/OU ESTERILIZADA; CALIBRADA ORIGINALMENTE DO FABRICANTE</t>
  </si>
  <si>
    <t>MICRO PIPETA VOLUME VARIÁVEL 10 A 200 L; PARA DISPENSAÇÃO DE LÍQUIDOS E FLUÍDOS EM PEQUENOS VOLUMES; MONOCANAL VOLUME AJUSTÁVEL; VOLUME AJUSTÁVEL DE 10 A 200 UL; PRECISÃO EM 200 UL 99% E CV 0,4%; CONTROLE TOTAL DE VOLUME POR UM BOTÃO DE AJUSTE; TANTO PARA OPERAÇÕES DE ASPIRAÇÃO QUANTO PARA DISPENSAÇÃO; EJETOR AUTOMÁTICO DE PONTEIRAS; VISOR COM SISTEMA DE NUMERAÇÃO COM LEITURA EM DISPLAY; NÃO ELETRÔNICO; FORMATO ANATÔMICO; LEVE E ESTRUTURA TOTALMENTE EM PLÁSTICO ABS RESISTENTE; PARTE INFERIOR ROSQUEÁVEL E DESMONTÁVEL PARA QUE POSSA SER AUTOCLAVADA E/OU ESTERILIZADA; CALIBRADA ORIGINALMENTE DO FABRICANTE</t>
  </si>
  <si>
    <t>Cancelado na aceitação</t>
  </si>
  <si>
    <t xml:space="preserve"> MICRO PIPETA VOLUME VARIÁVEL 1000 A 5000 L; MICROPIPETA MECÂNICA MONO CANAL VOLUME VARIÁVEL; EJETOR AUTOMÁTICO DE PONTEIRAS; VISOR NUMÉRICO PARA FÁCIL IDENTIFICAÇÃO DO VOLUME; PARTE INFERIOR, AUTOCLAVÁVEL; REMOVÍVEL</t>
  </si>
  <si>
    <t>MICRO PIPETA VOLUME VARIÁVEL 5 A 100 L; PARA DISPENSAÇÃO DE LÍQUIDOS E FLUÍDOS EM PEQUENOS VOLUMES; MONOCANAL VOLUME AJUSTÁVEL; VOLUME AJUSTÁVEL DE 5 A 100 UL; PRECISÃO EM 100 UL 99% E CV 0,4%; CONTROLE TOTAL DE VOLUME POR UM BOTÃO DE AJUSTE; TANTO PARA OPERAÇÕES DE ASPIRAÇÃO QUANTO PARA DISPENSAÇÃO; EJETOR AUTOMÁTICO DE PONTEIRAS; VISOR COM SISTEMA DE NUMERAÇÃO COM LEITURA EM DISPLAY; NÃO ELETRÔNICO; FORMATO ANATÔMICO, LEVE E ESTRUTURA TOTALMENTE EM PLÁSTICO ABS RESISTENTE; PARTE INFERIOR ROSQUEÁVEL E DESMONTÁVEL PARA QUE POSSA SER AUTOCLAVADA E/OU ESTERILIZADA; CALIBRADA ORIGINALMENTE DO FABRICANTE</t>
  </si>
  <si>
    <t>MICRO PIPETA VOLUME VARIÁVEL 50 A 250 L; MICROPIPETA MECÂNICA MONO CANAL VOLUME VARIÁVEL; EJETOR AUTOMÁTICO DE PONTEIRAS; VISOR NUMÉRICO PARA FÁCIL IDENTIFICAÇÃO DO VOLUME; PARTE INFERIOR; AUTOCLAVÁVEL; REMOVÍVEL</t>
  </si>
  <si>
    <t xml:space="preserve"> MINI-ISOLADOR PARA RATOS- FILTRO SUPERIOR LAVÁVEL E DE FÁCIL SUBSTITUIÇÃO, SEM A NECESSIDADE DO USO DE FERRAMENTAS- TRAVAS DE SEGURANÇA QUE EVITAM ABERTURA ACIDENTAL- HASTES INTERNAS QUE PROTEGEM CONTRA DEFORMAÇÕES E IMPACTOS, PROLONGANDO A VIDA ÚTIL-ARAMADO INTERNO EM AÇO INOXIDÁVEL ELETRO POLIDO- BORDAS LATERAIS PROLONGADAS QUE AUMENTAM O EFEITO ´PETRI´, ESSENCIAL PARA ISOLAMENTO- SUPORTE E FILTROS COMPATÍVEIS A TODOS OS MODELOS- VÁLVULA DE POLISULFONA PARA INSUFLAÇÃO DE AR DENTRO DO MINI-ISOLADOR- INCLUI DOIS BEBEDOUROS DE 750ML- DIMENSÕES: 25.3CM A X 48.3CM C X 33.7CM L</t>
  </si>
  <si>
    <t>MINI-ISOLADOR PARA RATOS- FILTRO SUPERIOR LAVÁVEL E DE FÁCIL SUBSTITUIÇÃO, SEM A NECESSIDADE DO USO DE FERRAMENTAS- TRAVAS DE SEGURANÇA QUE EVITAM ABERTURA ACIDENTAL- HASTES INTERNAS QUE PROTEGEM CONTRA DEFORMAÇÕES E IMPACTOS, PROLONGANDO A VIDA ÚTIL-ARAMADO INTERNO EM AÇO INOXIDÁVEL ELETRO POLIDO- BORDAS LATERAIS PROLONGADAS QUE AUMENTAM O EFEITO ´PETRI´, ESSENCIAL PARA ISOLAMENTO- SUPORTE E FILTROS COMPATÍVEIS A TODOS OS MODELOS- VÁLVULA DE POLISULFONA PARA INSUFLAÇÃO DE AR DENTRO DO MINI-ISOLADOR- INCLUI DOIS BEBEDOUROS DE 750ML- DIMENSÕES: 25.3CM A X 48.3CM C X 33.7CM L</t>
  </si>
  <si>
    <t>PENEIRA GRANULOMÉTRICA, MATERIAL AÇO INOXIDÁVEL, DIÂMETRO 8, ALTURA 2, TAMANHO ABERTURA MALHAS 100 MESH</t>
  </si>
  <si>
    <t>PENEIRA GRANULOMÉTRICA, MATERIAL AÇO INOXIDÁVEL, DIÂMETRO 8, ALTURA 2, TAMANHO ABERTURA MALHAS 115 MESH</t>
  </si>
  <si>
    <t>PENEIRA GRANULOMÉTRICA, MATERIAL AÇO INOXIDÁVEL, DIÂMETRO 8, ALTURA 2, TAMANHO ABERTURA MALHAS 150 MESH</t>
  </si>
  <si>
    <t xml:space="preserve"> PENEIRA GRANULOMÉTRICA, MATERIAL AÇO INOXIDÁVEL, DIÂMETRO 8, ALTURA 2, TAMANHO ABERTURA MALHAS 170 MESH</t>
  </si>
  <si>
    <t>PENEIRA GRANULOMÉTRICA, MATERIAL AÇO INOXIDÁVEL, DIÂMETRO 8, ALTURA 2, TAMANHO ABERTURA MALHAS 20 MESH</t>
  </si>
  <si>
    <t>PENEIRA GRANULOMÉTRICA, MATERIAL AÇO INOXIDÁVEL, DIÂMETRO 8, ALTURA 2, TAMANHO ABERTURA MALHAS 200 MESH</t>
  </si>
  <si>
    <t>PENEIRA GRANULOMÉTRICA, MATERIAL AÇO INOXIDÁVEL, DIÂMETRO 8, ALTURA 2, TAMANHO ABERTURA MALHAS 24 MESH</t>
  </si>
  <si>
    <t>PENEIRA GRANULOMÉTRICA, MATERIAL AÇO INOXIDÁVEL, DIÂMETRO 8, ALTURA 2, TAMANHO ABERTURA MALHAS 250 MESH</t>
  </si>
  <si>
    <t>PENEIRA GRANULOMÉTRICA, MATERIAL AÇO INOXIDÁVEL, DIÂMETRO 8, ALTURA 2, TAMANHO ABERTURA MALHAS 270 MESH</t>
  </si>
  <si>
    <t>PENEIRA GRANULOMÉTRICA, MATERIAL AÇO INOXIDÁVEL, DIÂMETRO 8, ALTURA 2, TAMANHO ABERTURA MALHAS 28 MESH</t>
  </si>
  <si>
    <t>PENEIRA GRANULOMÉTRICA, MATERIAL AÇO INOXIDÁVEL, DIÂMETRO 8, ALTURA 2, TAMANHO ABERTURA MALHAS 32 MESH</t>
  </si>
  <si>
    <t>PENEIRA GRANULOMÉTRICA, MATERIAL AÇO INOXIDÁVEL, DIÂMETRO 8, ALTURA 2, TAMANHO ABERTURA MALHAS 325 MESH</t>
  </si>
  <si>
    <t>PENEIRA GRANULOMÉTRICA, MATERIAL AÇO INOXIDÁVEL, DIÂMETRO 8, ALTURA 2, TAMANHO ABERTURA MALHAS 35 MESH</t>
  </si>
  <si>
    <t>PENEIRA GRANULOMÉTRICA, MATERIAL AÇO INOXIDÁVEL, DIÂMETRO 8, ALTURA 2, TAMANHO ABERTURA MALHAS 400 MESH</t>
  </si>
  <si>
    <t>PENEIRA GRANULOMÉTRICA, MATERIAL AÇO INOXIDÁVEL, DIÂMETRO 8, ALTURA 2, TAMANHO ABERTURA MALHAS 42 MESH</t>
  </si>
  <si>
    <t>PENEIRA GRANULOMÉTRICA, MATERIAL AÇO INOXIDÁVEL, DIÂMETRO 8, ALTURA 2, TAMANHO ABERTURA MALHAS 48 MESH</t>
  </si>
  <si>
    <t>PENEIRA GRANULOMÉTRICA, MATERIAL AÇO INOXIDÁVEL, DIÂMETRO 8, ALTURA 2, TAMANHO ABERTURA MALHAS 500 MESH</t>
  </si>
  <si>
    <t>PENEIRA GRANULOMÉTRICA, MATERIAL AÇO INOXIDÁVEL, DIÂMETRO 8, ALTURA 2, TAMANHO ABERTURA MALHAS 60 MESH</t>
  </si>
  <si>
    <t>PENEIRA GRANULOMÉTRICA, MATERIAL AÇO INOXIDÁVEL, DIÂMETRO 8, ALTURA 2, TAMANHO ABERTURA MALHAS 65 MESH</t>
  </si>
  <si>
    <t>PENEIRA GRANULOMÉTRICA, MATERIAL AÇO INOXIDÁVEL, DIÂMETRO 8, ALTURA 2, TAMANHO ABERTURA MALHAS 80 MESH</t>
  </si>
  <si>
    <t>PINÇA LABORATÓRIO, MATERIAL LIGA METÁLICA, TIPO PONTA PONTA RETA FINA, COMPRIMENTO CERCA DE 10 CM</t>
  </si>
  <si>
    <t xml:space="preserve"> PINÇA LABORATÓRIO, MATERIAL METAL, MODELO TENAZ, APLICAÇÃO PARA CADINHO, TIPO PONTA PONTA CURVA, COMPRIMENTO CERCA DE 22 CM</t>
  </si>
  <si>
    <t>PIPETA GRADUADA ESGOTAMENTO TOTAL 10 ML</t>
  </si>
  <si>
    <t>PIPETA GRADUADA ESGOTAMENTO TOTAL 15 ML</t>
  </si>
  <si>
    <t>PIPETA GRADUADA ESGOTAMENTO TOTAL 2 ML</t>
  </si>
  <si>
    <t>PIPETA GRADUADA ESGOTAMENTO TOTAL 25 ML</t>
  </si>
  <si>
    <t>PIPETA GRADUADA ESGOTAMENTO TOTAL 5 ML</t>
  </si>
  <si>
    <t>PIPETA GRADUADA VIDRO, CAPACIDADE 1 ML</t>
  </si>
  <si>
    <t>PIPETA GRADUADA VIDRO, CAPACIDADE 10 ML</t>
  </si>
  <si>
    <t>PIPETA GRADUADA VIDRO, CAPACIDADE 2 ML</t>
  </si>
  <si>
    <t>PIPETA GRADUADA VIDRO, CAPACIDADE 5 ML</t>
  </si>
  <si>
    <t>PIPETA LABORATÓRIO; TIPO PISSETA; CAPACIDADE 500; CARACTERÍSTICAS ADICIONAIS BICO CURVO; GRADUAÇÃO; TRANSPARENTE; MATERIAL POLIPROPILENO; APLICAÇÃO ARMAZENAR ÁGUA PURIFICADA; REAGENTE</t>
  </si>
  <si>
    <t>PIPETA MANUAL; MODELO GRADUADA; CAPACIDADE 10 ML; MATERIAL VIDRO; APLICAÇÃO USO LABORATORIAL</t>
  </si>
  <si>
    <t>PIPETA MANUAL; MODELO GRADUADA; CAPACIDADE 25 ML; MATERIAL VIDRO; APLICAÇÃO USO LABORATORIAL</t>
  </si>
  <si>
    <t>PIPETA MANUAL; MODELO VOLUMÉTRICA; CAPACIDADE 1 ML; MATERIAL VIDRO BOROSSILICATO; APLICAÇÃO USO LABORATORIAL; CARACTERÍSTICAS ADICIONAIS GRADUADA, AZUL; ESGOTAMENTO TOTAL; UM TRAÇO</t>
  </si>
  <si>
    <t>PIPETA MANUAL; MODELO VOLUMÉTRICA; CAPACIDADE 2 ML; MATERIAL VIDRO; APLICAÇÃO USO LABORATORIAL</t>
  </si>
  <si>
    <t>PIPETA MANUAL; MODELO VOLUMÉTRICA; CAPACIDADE 25 ML; MATERIAL VIDRO BOROSSILICATO; APLICAÇÃO USO LABORATORIAL; CARACTERÍSTICAS ADICIONAIS BOCAL E BICOS TEMPERADOS; GRAVAÇÃO PERMANENTE</t>
  </si>
  <si>
    <t>PIPETA MANUAL; MODELO VOLUMÉTRICA; CAPACIDADE 5 ML; MATERIAL VIDRO BOROSSILICATO; APLICAÇÃO USO LABORATORIAL; CARACTERÍSTICAS ADICIONAIS BOCAS E BICOS TEMPERADOS; GRAVAÇÃO PERMANENTE</t>
  </si>
  <si>
    <t>PIPETA MANUAL; MODELO VOLUMÉTRICA; CAPACIDADE 50 ML; MATERIAL VIDRO BOROSSILICATO; APLICAÇÃO USO LABORATORIAL; CARACTERÍSTICAS ADICIONAIS BOCAL E BICOS TEMPERADOS; GRAVAÇÃO PERMANENTE</t>
  </si>
  <si>
    <t>PIPETA MANUAL, MODELO VOLUMÉTRICA, CAPACIDADE 100 ML, GRADUADA, MATERIAL VIDRO, APLICAÇÃO USO LABORATORIAL, TRANSMITÂNCIA TRANSPARENTE</t>
  </si>
  <si>
    <t>PIPETA PASTEUR; CAPACIDADE 3 ML; ESTÉRIL; CAIXA COM 500 UNIDADES</t>
  </si>
  <si>
    <t>PIPETA PASTEUR; CAPACIDADE 3 ML; NÃO ESTÉRIL; CAIXA COM 500 UNIDADES</t>
  </si>
  <si>
    <t>PIPETA PASTEUR DE VIDRO CAIXA COM 1000 UNIDADES</t>
  </si>
  <si>
    <t>PIPETA VOLUMÉTRICA ESGOTAMENTO TOTAL 1 ML</t>
  </si>
  <si>
    <t>PIPETA VOLUMÉTRICA ESGOTAMENTO TOTAL 10 ML</t>
  </si>
  <si>
    <t>PIPETA VOLUMÉTRICA ESGOTAMENTO TOTAL 2 ML</t>
  </si>
  <si>
    <t>PIPETA VOLUMÉTRICA ESGOTAMENTO TOTAL 20 ML</t>
  </si>
  <si>
    <t>PIPETA VOLUMÉTRICA ESGOTAMENTO TOTAL 5 ML</t>
  </si>
  <si>
    <t>PIPETADOR AUTOMÁTICO MOTORIZADO COM BATERIA RECARREGÁVEL VOLUME DE 0,1 A 100 ML, 127 V.</t>
  </si>
  <si>
    <t xml:space="preserve"> PIPETADOR PI-PUMP FAIXA DE MEDIÇÃO PARA PIPETAS ATÉ 25 ML</t>
  </si>
  <si>
    <t>PIPETADOR DE SEGURANÇA; 3 VIAS; CONFECCIONADO EM PVC NA COR VERDE E ESFERA DE POLIPROPILENO</t>
  </si>
  <si>
    <t xml:space="preserve"> PIPETADOR, MATERIAL PLÁSTICO, TIPO MANUAL, CAPACIDADE ATÉ 10 ML, AJUSTE TIPO ROLDONA</t>
  </si>
  <si>
    <t>PIPETADOR, MATERIAL PLÁSTICO, TIPO MANUAL, CAPACIDADE ATÉ 25 ML, AJUSTE TIPO ROLDANA</t>
  </si>
  <si>
    <t>PISSETA EM POLIETILENO TRANSLÚCIDO E GRADUADO EM SILK-SCREEN, CAPACIDADE 1000 ML</t>
  </si>
  <si>
    <t>PISSETA EM POLIETILENO TRANSLÚCIDO E GRADUADO EM SILK-SCREEN, CAPACIDADE 500 ML</t>
  </si>
  <si>
    <t>PLACA CROMATOGRÁFICA SÍLICA GEL F254 COM FLUOCEÍNA. CAIXA COM 25 UND</t>
  </si>
  <si>
    <t>PLACA DE PETRI; MATERIAL VIDRO; DIÂMETRO 100; ALTURA 20; APLICAÇÃO USO LABORATORIAL; TRANSMITÂNCIA TRANSPARENTE; CAIXA COM 120 UNIDADES</t>
  </si>
  <si>
    <t>PLACA DE PETRI, MATERIAL VIDRO, FORMA REDONDA, DIMENSÕES DE 150 DE DIÂMETRO X 20MM</t>
  </si>
  <si>
    <t>PLACA DE PETRI, MATERIAL VIDRO, FORMATO REDONDA, DIMENSÕES CERCA DE 10 DE DIÂMETRO X 40MM</t>
  </si>
  <si>
    <t>PLACA DE PETRI, MATERIAL VIDRO, FORMATO REDONDA, DIMENSÕES CERCA DE 15 DE DIÂMETRO X 60MM</t>
  </si>
  <si>
    <t xml:space="preserve"> PLACA DE PETRI, MATERIAL VIDRO, FORMATO REDONDA, DIMENSÕES DE 80 DE DIÂMETRO X 15MM</t>
  </si>
  <si>
    <t>PLACA DE PETRI DESCARTÁVEL, TAMANHO 90X15 MM, MOLDADO EM POLIESTIRENO DE ALTA TRANSPARÊNCIA, FUNDO TOTALMENTE PLANO, PACOTE COM 10 UNIDADES</t>
  </si>
  <si>
    <t>PONTEIRA MICROPIPETA, MATERIAL POLIPROPILENO, CAPACIDADE ATÉ 1000 MCL, ESTÉRIL, APIROGÊNICO, LIVRE DE DNASE E RNASE TIPO USO DESCARTÁVEL, PACOTE. PACOTE COM 500 UND</t>
  </si>
  <si>
    <t>PONTEIRA MICROVOLUME SEM FILTRO, NÃO ESTÉRIL, PONTA CÔNICA 0,5 - 10UL, PACOTE COM 1000 UNIDADES</t>
  </si>
  <si>
    <t xml:space="preserve"> PONTEIRA MICROVOLUME SEM FILTRO, NÃO ESTÉRIL, PONTA CÔNICA 1 - 200UL, PACOTE COM 1000 UNIDADES</t>
  </si>
  <si>
    <t xml:space="preserve"> PONTEIRA MICROVOLUME SEM FILTRO, NÃO ESTÉRIL, PONTA CÔNICA 100 - 1000UL, PACOTE COM 1000 UNIDADES</t>
  </si>
  <si>
    <t>PROVETA DE VIDRO GRADUADA COM BASE SEXTAVADA DE POLIETILENO 500 ML</t>
  </si>
  <si>
    <t>PROVETA EM VIDRO GRADUADA COM BASE SEXTAVADA DE POLIETILENO CAPACIDADE 10 ML</t>
  </si>
  <si>
    <t>PROVETA EM VIDRO GRADUADA COM BASE SEXTAVADA DE POLIETILENO CAPACIDADE 100 ML</t>
  </si>
  <si>
    <t>PROVETA EM VIDRO GRADUADA COM BASE SEXTAVADA DE POLIETILENO CAPACIDADE 250 ML</t>
  </si>
  <si>
    <t>PROVETA EM VIDRO GRADUADA COM BASE SEXTAVADA DE POLIETILENO CAPACIDADE 50 ML</t>
  </si>
  <si>
    <t>PROVETA EM VIDRO GRADUADA COM BASE SEXTAVADA DE POLIETILENO CAPACIDADE 5 ML</t>
  </si>
  <si>
    <t>PROVETA EM VIDRO GRADUADA COM BASE SEXTAVADA DE POLIETILENO CAPACIDADE 25ML</t>
  </si>
  <si>
    <t>PROVETA EM VIDRO GRADUADA COM BASE SEXTAVADA DE POLIETILENO CAPACIDADE 500ML</t>
  </si>
  <si>
    <t>PROVETA; MATERIAL POLIPROPILENO; FORMATO BASE HEXAGONAL; CAPACIDADE 100 ML; TIPO GRADUADA; COM BICO; ESCALA GRADUAÇÃO 1 ML, CARACTERÍSTICA ADICIONAL AUTOCLAVÁVEL</t>
  </si>
  <si>
    <t>PROVETA; MATERIAL POLIPROPILENO; FORMATO BASE HEXAGONAL; CAPACIDADE 25 ML; TIPO GRADUADA; COM BICO; ESCALA GRADUAÇÃO 1 ML</t>
  </si>
  <si>
    <t>PROVETA; MATERIAL POLIPROPILENO; FORMATO BASE HEXAGONAL; CAPACIDADE 50 ML; TIPO GRADUADA; COM BICO; ESCALA GRADUAÇÃO 1 ML</t>
  </si>
  <si>
    <t>PROVETA; MATERIAL POLIPROPILENO; FORMATO BASE HEXAGONAL; CAPACIDADE 100 ML; TIPO GRADUADA; COM BICO; ESCALA GRADUAÇÃO 1 ML</t>
  </si>
  <si>
    <t>PROVETA; MATERIAL POLIPROPILENO; FORMATO BASE HEXAGONAL; CAPACIDADE 250 ML; TIPO GRADUADA; COM BICO; ESCALA GRADUAÇÃO 1 ML</t>
  </si>
  <si>
    <t>PROVETA; MATERIAL VIDRO BOROSSILICATO; CAPACIDADE 1.000 ML; TIPO GRADUADA; CARACTERÍSTICAS ADICIONAIS SUPORTE EM POLIETILENO</t>
  </si>
  <si>
    <t>PROVETA EM VIDRO, GRADUADA, CAPACIDADE 10 ML</t>
  </si>
  <si>
    <t>PROVETA EM VIDRO, GRADUADA, CAPACIDADE 25 ML</t>
  </si>
  <si>
    <t xml:space="preserve"> PROVETA GRADUADA DE VIDRO COM BASE DE VIDRO 10 ML</t>
  </si>
  <si>
    <t>PROVETA GRADUADA DE VIDRO COM BASE DE VIDRO 100 ML</t>
  </si>
  <si>
    <t>PROVETA GRADUADA DE VIDRO COM BASE DE VIDRO 1000 ML</t>
  </si>
  <si>
    <t>PROVETA GRADUADA DE VIDRO COM BASE DE VIDRO 50 ML</t>
  </si>
  <si>
    <t>PROVETA GRADUADA DE VIDRO COM BASE DE VIDRO 500 ML</t>
  </si>
  <si>
    <t>ROVETA, MATERIAL VIDRO, GRADUAÇÃO GRADUADA, CAPACIDADE 2000 ML, BASE BASE PLÁSTICA, ADICIONAL COM ORLA E BICO</t>
  </si>
  <si>
    <t>PROVETA, MATERIAL VIDRO, GRADUAÇÃO GRADUADA, CAPACIDADE 1000 ML, BASE BASE PLÁSTICA, ADICIONAL COM ORLA E BICO</t>
  </si>
  <si>
    <t>PROVETA, MATERIAL VIDRO, GRADUAÇÃO GRADUADA, CAPACIDADE 500 ML, BASE BASE PLÁSTICA, ADICIONAL COM ORLA E BICO</t>
  </si>
  <si>
    <t xml:space="preserve"> PROVETA, MATERIAL VIDRO, GRADUAÇÃO GRADUADA, CAPACIDADE 250 ML, BASE BASE PLÁSTICA, ADICIONAL COM ORLA E BICO</t>
  </si>
  <si>
    <t>PROVETA, MATERIAL VIDRO, GRADUAÇÃO GRADUADA, CAPACIDADE 100 ML, BASE BASE PLÁSTICA, ADICIONAL COM ORLA E BICO</t>
  </si>
  <si>
    <t>PROVETA, MATERIAL VIDRO, GRADUAÇÃO GRADUADA, CAPACIDADE 50 ML, BASE BASE PLÁSTICA, ADICIONAL COM ORLA E BICO</t>
  </si>
  <si>
    <t>RELÓGIO DESPERTADOR PARA LABORATÓRIOS DE 0 A 60 MINUTOS - MODELO T45.</t>
  </si>
  <si>
    <t>SÍLICA GEL SECANTE COM INDICADOR AZUL (PACOTES COM 1 KG)</t>
  </si>
  <si>
    <t>SISTEMA DE FILTRAÇÃO A VÁCUO 150 ML, MEMB. PES, 022UM. BEM. INDIVIDUAL</t>
  </si>
  <si>
    <t>SISTEMA FILTRAÇÃO, COMPONENTES BASE/FUNIL/GARRA E FRASCO, MATERIAL FUNIL VIDRO BOROSSILICATO, MATERIAL GARRA ALUMÍNIO ANODIZADO, DIÂMETRO FILTRO 47, CAPACIDADE FUNIL 300, CARACTERÍSTICAS ADICIONAIS FRASCO 1 LITRO TIPO ERLENMEYER</t>
  </si>
  <si>
    <t>SUPORTE ESCORREDOR PARA SECAGEM DE VIDRARIAS EM PP PARA 35 PEÇAS.FABRICADO EM CHAPA E PINOS DE POLIPROPILENO</t>
  </si>
  <si>
    <t>SUPORTE ESCORREDOR DE VIDRAÇARIAS, CAPACIDADE PARA 72 PEÇAS</t>
  </si>
  <si>
    <t>SUPORTE PARA BURETAS</t>
  </si>
  <si>
    <t>SUPORTE PARA TUBOS DE ENSAIO, CAPACIDADE PARA 24 TUBOS</t>
  </si>
  <si>
    <t>SUPORTE PARA TUBOS DE NESSLER, CAPACIDADE PARA 12 TUBOS</t>
  </si>
  <si>
    <t>SUPORTE LABORATÓRIO, MATERIAL METAL, TIPO TRIPÉ, DIMENSÕES CERCA DE 20 CM OU 200 MM</t>
  </si>
  <si>
    <t>SUPORTE DE VIDRO PARA PIPETAS; SUPORTE GIRATÓRIO PARA PIPETAS DE VIDRO</t>
  </si>
  <si>
    <t>TELA LABORATÓRIO, MATERIAL EM ARAME, TRATAMENTO SUPERFICIAL COM DISCO CENTRAL EM AMIANTO, DIMENSÕES CERCA DE 20 X 20 CM</t>
  </si>
  <si>
    <t>TERMÔMETRO DE 100 C A 300 C, VIDRO</t>
  </si>
  <si>
    <t>TERMÔMETRO PARA USO GERAL, ESCALA INTERNA, - 10 +150 C SEM TEFLON</t>
  </si>
  <si>
    <t>TERMÔMETRO QUÍMICO ESCALA INTERNA - 10+110¨C DIVISÃO 1¨C 260 MM DIÂMETRO 8 MM</t>
  </si>
  <si>
    <t>TUBO DE CENTRIFUGAÇÃO TIPO FALCON, CAPACIDADE 15 ML, PACOTE COM 40 UNIDADES</t>
  </si>
  <si>
    <t>TUBO DE DIGESTÃO PARA NITROGÊNIO, EM VIDRO BOROSILICATO, MEDINDO 300 X 25 MM</t>
  </si>
  <si>
    <t>TUBO DE ENSAIO EM VIDRO COM TAMPA DE ROSCA 13 X 100 MM</t>
  </si>
  <si>
    <t>TUBO DE ENSAIO EM VIDRO; TRANSPARENTE; FUNDO REDONDO; SEM BORDA; DIÂMETRO EXTERNO 18 MM; ALTURA 180 MM; CAPACIDADE 30 ML</t>
  </si>
  <si>
    <t>TUBO DE ENSAIO EM VIDRO; TRANSPARENTE; FUNDO REDONDO; SEM BORDA; DIÂMETRO EXTERNO 16 MM; ALTURA 150 MM; CAPACIDADE 20 ML</t>
  </si>
  <si>
    <t>TUBO DE ENSAIO EM VIDRO; TRANSPARENTE; FUNDO REDONDO; SEM BORDA; DIÂMETRO EXTERNO 13 MM; ALTURA 100 MM; CAPACIDADE 9 ML</t>
  </si>
  <si>
    <t>TUBO DE ENSAIO COM ROSCA E TAMPA BAQUELITE - BOROSILICATO 16 X 150 MM</t>
  </si>
  <si>
    <t>TUBO DE ENSAIO COM ROSCA E TAMPA BAQUELITE - BOROSILICATO 18 X 180 MM</t>
  </si>
  <si>
    <t>TUBO DE ENSAIO EM POLIESTIRENO, CAPACIDADE 5 ML. PACOTE COM 500 UND</t>
  </si>
  <si>
    <t>TUBO DE ENSAIO EM VIDRO BOROSILICATO, CAPACIDADE 50 ML COM TAMPA ROSQUEÁVEL EM POLIPROPILENO</t>
  </si>
  <si>
    <t>TUBO DE ENSAIO NEUTRO SEM BORDA 12,5 X 90 MM</t>
  </si>
  <si>
    <t>TUBO DE ENSAIO TAMANHO 12 X 75 - 5 ML, PACOTE COM 1000 UNIDADES</t>
  </si>
  <si>
    <t>TUBO DE ENSAIO, VIDRO PIREX, 150 MM ALTURA X 16 MM DIÂMETRO</t>
  </si>
  <si>
    <t>TUBO LABORATÓRIO, TIPO CENTRÍFUGA, MATERIAL POLIPROPILENO, TIPO FUNDO CÔNICO, CAPACIDADE 15, ACESSÓRIOS TAMPA ROSQUEÁVEL, GRADUAÇÃO GRADUADO, ESTERILIDADE ESTÉRIL, APIROGÊNICO, LIVRE DE DNASE E RNASE, USO DESCARTÁVEL. PACOTE COM 500 UND</t>
  </si>
  <si>
    <t>TUBO DE LÁTEX DIÂMETRO EXTERNO DE 12 MM DIÂMETRO INTERNO DE 6 MM, COM 15 METROS Nº 204.</t>
  </si>
  <si>
    <t>TUBOS DE ENSAIO SEM ORLA; PAREDE DE 0,8 A 1,0 MM A 12 X 100 MM</t>
  </si>
  <si>
    <t>TUBOS DE MICROCENTRÍFUGA; TIPO EPPENDORF; COM CAPACIDADE DE 1,5ML PACOTE COM 1000</t>
  </si>
  <si>
    <t>TUBO DE SILICONE, DIÂMETRO INTERNO 6 MM X DIÂMETRO EXTERNO 10 MM, ROLO COM 15 M.</t>
  </si>
  <si>
    <t>TUBO DE FOLIN-WU, GRADUADO PERMANENTE CLASSE A, CAPACIDADE 25 ML, SUBDIVISÃO 12,5 ML, CALIBRADO A 20 C, DIÂMETRO EXTERNO APROXIMADO 19 MM</t>
  </si>
  <si>
    <t>TUBO DE NESSLER 25 ML</t>
  </si>
  <si>
    <t>VIDRO DE RELÓGIO (LAPIDADO) DE 18 CM</t>
  </si>
  <si>
    <t>VIDRO DE RELÓGIO (LAPIDADO) DE 10 CM</t>
  </si>
  <si>
    <t>VIDRO DE RELÓGIO (LAPIDADO) DE 15 CM</t>
  </si>
  <si>
    <t>VIDRO DE RELÓGIO (LAPIDADO) DE 8 CM</t>
  </si>
  <si>
    <t>VIDRO RELÓGIO; MATERIAL VIDRO; FORMATO CÔNCAVO; DIÂMETRO 10; APLICAÇÃO PESAGEM DE SUBSTÂNCIAS QUÍMICAS</t>
  </si>
  <si>
    <t>CAIXA DE FIBRA DE PAPELÃO COM TAMPA F GRADE DIVISÓRIA PARA ARMAZENAMENTO DE MICROTUBOS (TIPO EPPENDORF) E TUBO CRIOGÊNICO P/ 100 TUBOS CAP 1.5 / 2.0ML</t>
  </si>
  <si>
    <t>CAIXA PARA LÂMINAS, TIPO CAIXA EM PLÁSTICO OU MADEIRA PARA ARMAZENAMENTO DE LÂMINAS DE MICROSCOPIA DE DIMENSÕES 26,0 X 76,0MM, ESPESSURA APROXIMADA 1,0 A 1,2MM</t>
  </si>
  <si>
    <t>CÂMARA DE NEWBAUER, TIPO ESPELHADA, CÂMARA PARA CONTAGEM DE CÉLULAS</t>
  </si>
  <si>
    <t>CASSETE PLÁSTICO. PACOTE COM 500 UND</t>
  </si>
  <si>
    <t>DISCOS PARA ANTIBIOGRAMA, TIPO DISCOS DE SENSIBILIDADE, AGENTE ENROFLOXACINO 5MCG(ENO 05). FRASCO COM 50 UND</t>
  </si>
  <si>
    <t>ESTANTE PARA TUBOS PARA CENTRÍFUGA(TUBOS FALCON), TIPO ESTANTE PARA BANCADAS DE LABORATÓRIOS EM MATERIAL PLÁSTICO QUE ACOMODE TUBOS PARA CENTRÍFUGA DE VOLUME DE 50ML</t>
  </si>
  <si>
    <t>FRASCO REAGENTE EM VIDRO CAPACIDADE 1000ML COM TAMPA</t>
  </si>
  <si>
    <t>FRASCO REAGENTE EM VIDRO CAPACIDADE 125ML COM TAMPA</t>
  </si>
  <si>
    <t>FRASCO REAGENTE EM VIDRO CAPACIDADE 500ML COM TAMPA</t>
  </si>
  <si>
    <t xml:space="preserve"> INDICADOR DE PH, TIPO TIRA DE PAPEL, ESCALA 0 A 14.</t>
  </si>
  <si>
    <t>PAPEL TERMOSENSÍVEL PARA HEMATOLOGIA SYSMEX (PACOTE COM 8 ROLOS)</t>
  </si>
  <si>
    <t>PIPETAS DE INSEMINAÇÃO ARTIFICIAL PARA EQUINOS, TIPO PIPETAS PARA ÉGUAS. DESCRIÇÃO: DESCARTÁVEIS, 64CM DE COMPRIMENTO COM ACOPLADORES DE SERINGA, EMBALADAS E ESTERILIZADAS INDIVIDUALMENTE. FABRICANTE PROVAR. PACOTE COM 25 UND</t>
  </si>
  <si>
    <t>PLACA DE PETRI, TIPO PLACA DE PETRI PLÁSTICA, DIMENSÕES 100 X 15CM. DESCRIÇÃO: FUNDO LISO E PAREDES COM ESPESSURA UM IFORME LIVRE DE DISTORÇÕES, LIVRE DE DNASE, RNASE E PIROGÊNIO. PACOTE COM 10 UND</t>
  </si>
  <si>
    <t>PONTEIRA PARA PIPETA AUTOMÁTICA, TIPO PONTEIRAS PLÁSTICAS GILSON, SEM FILTRO, TRANSPARENTE, GRADUADA VOLUME 1000-5000L; LIVRE DE DNASE, RNASE E PIROGÊNIO. PACOTE COM 100 UND</t>
  </si>
  <si>
    <t>PONTEIRA PARA PIPETA AUTOMÁTICA, TIPO PONTEIRAS PLÁSTICAS GILSON, SEM FILTRO, TRANSPARENTE, VOLUME 1-200L; LIVRE DE DNASE, RNASE E PIROGÊNIO. PACOTE COM 100 UND</t>
  </si>
  <si>
    <t>TUBOS COM VÁCUO PARA COLETA DE SANGUE, TIPO VACUTAINER K2 COM ANTICOAGULANTE EDTA(K2E). REF 367861.</t>
  </si>
  <si>
    <t>MICROPIPETAS COM VOLUME MÁXIMO 100 MICROLITROS</t>
  </si>
  <si>
    <t>LAMÍNULA DE VIDRO 24 X 24 M,CAIXA COM 100 UNIDADES</t>
  </si>
  <si>
    <t>230836.008818/2015-9</t>
  </si>
  <si>
    <t>06/04/2016 A 05/04/2017</t>
  </si>
  <si>
    <t>LABORATÓRIO OFICIAL DE DIAGNÓSTICO FITOSSANITÁRIO</t>
  </si>
  <si>
    <t>CAMPUS DR. LEONEL MIRANDA</t>
  </si>
  <si>
    <t>DEPARTAMENTO DE CIÊNCIAS FISIOLÓGICAS</t>
  </si>
  <si>
    <t>DEPARTAMENTO DE GENÉTICA</t>
  </si>
  <si>
    <t>INSTITUTO DE FLORESTAS</t>
  </si>
  <si>
    <t>DEPARTAMENTO DE FÍSICA</t>
  </si>
  <si>
    <t>DEPARTAMENTO DE TECNOLOGIA DE ALIMENTOS</t>
  </si>
  <si>
    <t>DEPARTAMENTO DE PARASITOLOGIA ANIMAL</t>
  </si>
  <si>
    <t>DIREÇÃO CAMPUS NOVA IGUAÇU</t>
  </si>
  <si>
    <t>INSTITUTO DE CIÊNCIAS SOCIAIS APLICADAS</t>
  </si>
  <si>
    <t>2017NE800266</t>
  </si>
  <si>
    <t>2017NE800267</t>
  </si>
  <si>
    <t>2017NE800268</t>
  </si>
  <si>
    <t>2017NE800269</t>
  </si>
  <si>
    <t>2017NE800270</t>
  </si>
  <si>
    <t>2017NE800271</t>
  </si>
  <si>
    <t>0504/2017</t>
  </si>
  <si>
    <t>2017NE800272</t>
  </si>
  <si>
    <t>2017NE800273</t>
  </si>
  <si>
    <t>2017NE800274</t>
  </si>
  <si>
    <t>2017NE800275</t>
  </si>
  <si>
    <t>Não foi possivel realizar o empenho, pois não havia saldo suficiente.</t>
  </si>
  <si>
    <t>DEPARTAMENTO DE ENTOMOLOGIA E FITOPATOLOGIA</t>
  </si>
  <si>
    <t>DEPARTAMENTO DE CIÊNCIAS AMBIENTAIS</t>
  </si>
  <si>
    <t>DEPARTAMENTO SIVICULTURA</t>
  </si>
  <si>
    <t>DEPTO. DE MICROBIOLOGIA E IMUNILOGIA VETERINÁRIA</t>
  </si>
  <si>
    <t>DEPTO DE PARASITOLOGIA ANIMAL</t>
  </si>
  <si>
    <t>2017NE800039</t>
  </si>
  <si>
    <t>2017NE800040</t>
  </si>
  <si>
    <t>2017NE800035</t>
  </si>
  <si>
    <t>2017NE800036</t>
  </si>
  <si>
    <t>2017NE800037</t>
  </si>
  <si>
    <t>2017NE800038</t>
  </si>
  <si>
    <t>2017NE800044</t>
  </si>
  <si>
    <t>2017NE800041</t>
  </si>
  <si>
    <t>025/2016</t>
  </si>
  <si>
    <t>13/07/2016 a 12/07/2016</t>
  </si>
  <si>
    <t>DEPARTAMENTO DE BOTÂNICA</t>
  </si>
  <si>
    <t>DEPARTAMENTO DE BIOLOGIA ANIMAL</t>
  </si>
  <si>
    <t>DEPARTAMENTO DE MEDICINA E CIRURGIA VETERINÁRIA</t>
  </si>
  <si>
    <t>2017NE800339</t>
  </si>
  <si>
    <t>2017NE800340</t>
  </si>
  <si>
    <t>2017NE800341</t>
  </si>
  <si>
    <t>2017NE800342</t>
  </si>
  <si>
    <t>2017NE800343</t>
  </si>
  <si>
    <t>2017NE800344</t>
  </si>
  <si>
    <t>2017NE800345</t>
  </si>
  <si>
    <t>2017NE800347</t>
  </si>
  <si>
    <t>V</t>
  </si>
  <si>
    <t>2017NE800349</t>
  </si>
  <si>
    <t>2017NE800351</t>
  </si>
  <si>
    <t>2017NE800354</t>
  </si>
  <si>
    <t>2017NE800356</t>
  </si>
  <si>
    <t>2017NE800357</t>
  </si>
  <si>
    <t>2017NE800358</t>
  </si>
  <si>
    <t>2017NE800359</t>
  </si>
  <si>
    <t>barra magnética lisa 0,7 x 30 mm sem anel</t>
  </si>
  <si>
    <t>barra magnética lisa 10 x 50 mm sem anel.</t>
  </si>
  <si>
    <t>barrilete de pvc capacidade 30 l</t>
  </si>
  <si>
    <t>bastão agitador fluídos; material vidro; comprimento 300 mm; diâmetro 10 mm; aplicação laboratório; características adicionais pontas lapidadas.</t>
  </si>
  <si>
    <t>bico de bünsen, material base em ferro, componentes com registro, altura cercade 15 cm</t>
  </si>
  <si>
    <t>copo becker em vidro graduado capacidade 1000 ml</t>
  </si>
  <si>
    <t>copo tipo becker, material vidro, graduação graduado, capacidade 250ml, formato forma baixa, adicional com orla.</t>
  </si>
  <si>
    <t>copo tipo becker, material vidro, graduação graduado, capacidade 500, formato forma alta, adicional com orla e bico.</t>
  </si>
  <si>
    <t>copo tipo becker, material vidro, graduação graduado, capacidade 600ml, formato forma baixa, adicional com orla</t>
  </si>
  <si>
    <t>copo tipo becker; feito em polipropileno; forma alta; graduado; capacidade de 50 ml.</t>
  </si>
  <si>
    <t>copo tipo becker; em plástico polipropileno; autoclavável; capacidade de 150 ml</t>
  </si>
  <si>
    <t>copo tipo becker, material vidro, graduação graduado, capacidade 100, formato forma alta, adicional com orla e bico</t>
  </si>
  <si>
    <t>eletrodo combinado universal de vidro, referência interna ag/agcl, para uso geral, com junção cerâmica.</t>
  </si>
  <si>
    <t>embalagem de vidro com tampa de metal para conservas capacidade 600g.</t>
  </si>
  <si>
    <t>escorredor vidros; material polipropileno branco; quantidade pinos 50; tipo parede / lavável; comprimento 100 cm; largura 50 cm; aplicação laboratorial.</t>
  </si>
  <si>
    <t>escova laboratório, formato cilíndrica, material cabo arame, material cerda cerda em crina de cavalo, diâmetro 0,8 cm, comprimento 20 cm, acessórios pontaem pincel</t>
  </si>
  <si>
    <t>escova para lavar vidrarias, com cerda de 120mm, pincel de 40mm, cabo de 250mm e diâmetro de 60mm, com cerdas 100% crina animal e haste de aço inoxidável</t>
  </si>
  <si>
    <t>tigela, almofariz de ágata com pistilo de 100 ml</t>
  </si>
  <si>
    <t>dessecador em vidro de 200 mm com tampa; luva e placa de porcelana</t>
  </si>
  <si>
    <t>balão laboratório; material vidro borossilicato transparente, tipo fundo chato, capacidade 100, comprimento junta 40, diâmetro junta 24, quantidade bocas 1</t>
  </si>
  <si>
    <t>balão laboratório; material vidro borossilicato; tipo erlenmeyer graduado; capacidade 500; quantidade bocas 1; características adicionais gargalo curto; tipo junta esmerilhada</t>
  </si>
  <si>
    <t>balão volumétrico graduado de vidro borossilicato com boca esmerilhada tampa de polipropileno; 2000 ml</t>
  </si>
  <si>
    <t>balão volumétrico graduado em vidro com rolha de poiletileno capacidade; 500 ml</t>
  </si>
  <si>
    <t>balão volumétrico, material vidro borossilicato, tipo saída gargalo, capacidade 1000, modelo fundo chato.</t>
  </si>
  <si>
    <t>copo berzelius; forma alta; em vidro graduado capacidade 500 ml.</t>
  </si>
  <si>
    <t>copo; material polipropileno tipo becker; graduação mililitros; capacidade 4.000; características adicionais forma baixa.</t>
  </si>
  <si>
    <t>copo tipo becker, material vidro, graduação graduado, capacidade 500, formato forma alta, adicional com orla e bico</t>
  </si>
  <si>
    <t>copo tipo becker; em plástico polipropileno; graduação mililitros; capacidade 1.000; transmitância transparente</t>
  </si>
  <si>
    <t>copo tipo becker; em plástico polipropileno; graduação mililitros; capacidade 2.000; transmitância transparente.</t>
  </si>
  <si>
    <t>copo tipo becker; em plástico polipropileno; autoclavável; capacidade de 600 ml</t>
  </si>
  <si>
    <t>copo tipo becker, material vidro, graduação graduado, capacidade 200ml, formato forma alta, adicional com orla e bico.</t>
  </si>
  <si>
    <t>copo tipo becker, material vidro, graduação graduado, capacidade 400ml, formato forma baixa, adicional com orla</t>
  </si>
  <si>
    <t>escova laboratório, formato cilíndrica, material cabo arame, material cerda cerda em crina de cavalo,diâmetro 12,comprimento 25, acessórios ponta em pincel.</t>
  </si>
  <si>
    <t>escova laboratório, formato cilíndrica, material cabo arame, material cerda cerda em crina de cavalo, diâmetro 2 cm, comprimento 25 cm, acessórios ponta em pincel</t>
  </si>
  <si>
    <t>escova laboratório, formato cilíndrica, material cabo arame, material cerda cerda em crina de cavalo, diâmetro 3 cm, comprimento 11 cm, acessórios ponta em pincel</t>
  </si>
  <si>
    <t>escova para lavar vidrarias, com cerda de 210mm, pincel de 40mm, cabo de 300mm e diâmetro de 80mm, com cerdas 100% crina animal e haste de aço inoxidável.</t>
  </si>
  <si>
    <t>frasco de vidro; material vidro borossilicato; tipo erlenmeyer; boca estreita; capacidade 125 ml; características adicionais graduado; com orla; aplicação uso laboratorial</t>
  </si>
  <si>
    <t>frasco de vidro; material vidro borossilicato; tipo erlenmeyer; boca estreita; capacidade 500 ml; características adicionais graduado; com orla; aplicação uso laboratorial</t>
  </si>
  <si>
    <t>frasco em vidro graduado boca estreita capacidade 100 ml</t>
  </si>
  <si>
    <t>frasco erlenmeyer em vidro boca estreita capacidade 100 ml</t>
  </si>
  <si>
    <t>frasco erlenmeyer em vidro boca estreita capacidade 50 ml</t>
  </si>
  <si>
    <t>barra magnética lisa 9 x 50 mm sem anel.</t>
  </si>
  <si>
    <t>copo becker, material vidro, graduação graduado, capacidade 1000 ml, formato forma alta, adicional com orla e bico</t>
  </si>
  <si>
    <t>copo tipo becker, material vidro, graduação graduado, capacidade 1000ml, formato forma baixa, adicional com orla.</t>
  </si>
  <si>
    <t>copo tipo becker, material vidro, graduação graduado, capacidade 250ml, formato forma baixa, adicional com orla</t>
  </si>
  <si>
    <t>copo tipo becker; feito em vidro; forma baixa; graduado; capacidade de 1000 ml</t>
  </si>
  <si>
    <t>copo tipo becker; feito em polipropileno; forma alta; graduado; capacidade de 250 ml.</t>
  </si>
  <si>
    <t>cubeta, material quartzo, formato quadrada, características adicionais com 2 faces polidas, com tampa, caminho ótico 10mm, capacidade 3,5, aplicação espectrofotômetro, faixa trabalho 190 a 2500 nm.</t>
  </si>
  <si>
    <t>frasco de vidro; material vidro borossilicato; tipo erlenmeyer; boca larga; capacidade 250 ml; características adicionais graduado; com orla; aplicação uso laboratorial</t>
  </si>
  <si>
    <t>frasco de borosilicato graduado capacidade 100 ml.</t>
  </si>
  <si>
    <t>frasco de mariotte com torneira e boca esmerilhada de 1000 ml</t>
  </si>
  <si>
    <t>aparelho para determinação de clevenger óleos essenciais 1000ml</t>
  </si>
  <si>
    <t>balão fundo redondo com junta 24/40 capacidade 1000 ml</t>
  </si>
  <si>
    <t> balão laboratório, material vidro borosilicato; tipo erlenmeyer graduado; capacidade 250; quantidade bocas 1; características adicionais gargalo curto; tipo junta esmerilhada</t>
  </si>
  <si>
    <t>balão volumétrico, capacidade 50ml, material vidro, tipo saída gargalo, material tampa polietileno</t>
  </si>
  <si>
    <t> balão volumétrico graduado de vidro borossilicato com boca esmerilhada tampa de polipropileno; 25 ml</t>
  </si>
  <si>
    <t>barra magnética lisa 5 x 15 mm sem anel</t>
  </si>
  <si>
    <t>bureta; material vidro; aplicação aparelho acidimetro de dornic; características adicionais graduada em 2ml; intervalo de 0,01ml e 0,05ml</t>
  </si>
  <si>
    <t>bureta; material vidro borossilicato; aplicação uso laboratorial; características adicionais com torneira teflon e divisão 1/100; capacidade 50 ml.</t>
  </si>
  <si>
    <t>cadinho em porcelana forma alta de 250 ml</t>
  </si>
  <si>
    <t>copo becker em polietileno graduado capacidade 2000 ml</t>
  </si>
  <si>
    <t>copo tipo becker; feito em vidro; forma alta; graduado; capacidade de 1000 ml.</t>
  </si>
  <si>
    <t>copo tipo becker; feito em vidro; forma alta; graduado; capacidade de 250 ml.</t>
  </si>
  <si>
    <t>copo tipo becker; feito em vidro; forma alta; graduado; capacidade de 600 ml.</t>
  </si>
  <si>
    <t>copo tipo becker, material plástico transparente, graduação mililitros, capacidade 1.000, trasnmitância transparente.</t>
  </si>
  <si>
    <t>copo tipo becker, material plástico transparente, graduação mililitros, capacidade 250, trasnmitância transparente.</t>
  </si>
  <si>
    <t> dessecador; material vidro borossilicato; tipo vácuo, altura 220 mm; diâmetro interno 250 mm; características adicionais com luva; tampa e fundo de porcelana perfurada</t>
  </si>
  <si>
    <t>dessecador; material vidro borossilicato; tipo vácuo; altura 310 mm; diâmetro interno 250 mm; características adicionais com luva; tampa de vidro e fundo de porcelana perfurada.</t>
  </si>
  <si>
    <t>embalagem de vidro com tampa de metal para conservas capacidade 180g</t>
  </si>
  <si>
    <t>escova para lavar vidrarias, com cerda de 40mm, pincel de 25mm, cabo de 130mm e diâmetro de 8mm, com cerdas 100% crina animal e haste de aço inoxidável</t>
  </si>
  <si>
    <t>extrator laboratório, tipo soxhlet, tipo junta esmerilhada intercambiável, altura total 655, diâmetro junta superior 45, comprimento junta superior 50, diâmetro junta inferior 24, comprimento junta inferior 40, capacidade balão 250</t>
  </si>
  <si>
    <t>frasco em vidro graduado boca estreita capacidade 125 ml</t>
  </si>
  <si>
    <t>frasco em vidro graduado boca estreita capacidade 250 ml</t>
  </si>
  <si>
    <t>gral, material porcelana, capacidade cerca de 300 ml, acessórios com pistilo de porcelana</t>
  </si>
  <si>
    <t>tigela, almofariz de ágata com pistilo de 200 ml</t>
  </si>
  <si>
    <t>balão volumétrico graduado de vidro borossilicato com boca esmerilhada tampa de polipropileno; 10 ml</t>
  </si>
  <si>
    <t>barra magnética angular 7 x 22 mm</t>
  </si>
  <si>
    <t>bastão de vidro 07 cm, diâmetro 06 mm.</t>
  </si>
  <si>
    <t>bureta, material vidro borossilicato; aplicação uso laboratorial; características adicionais com torneira teflon e divisão 1/100; capacidade 25 ml</t>
  </si>
  <si>
    <t>cadinho em porcelana forma média de 40 ml.</t>
  </si>
  <si>
    <t>cubeta, material vidro ótico, formato retangular, características adicionais 2 faces polidas, tampa teflon, caminho ótico 10mm, largura 10, capacidade 3,5, aplicação espectroscopia, faixa trabalho 340 a 2600 nm.</t>
  </si>
  <si>
    <t>frasco de borosilicato graduado capacidade 500 ml.</t>
  </si>
  <si>
    <t>caixa porta lâmina de laboratório capacidade para 100 lâminas, em plástico</t>
  </si>
  <si>
    <t>balão fundo redondo com junta 24/40 capacidade 250 ml</t>
  </si>
  <si>
    <t>barra magnética angular 8 x 38 mm</t>
  </si>
  <si>
    <t>barra magnética angular 9 x 50 mm.</t>
  </si>
  <si>
    <t>copo becker em vidro graduado capacidade 50 ml.</t>
  </si>
  <si>
    <t>copo becker, material vidro, graduação graduado, capacidade 100 ml, formato forma alta, adicional com orla e bico.</t>
  </si>
  <si>
    <t>balão fundo redondo com junta 14/20 capacidade 125 ml</t>
  </si>
  <si>
    <t>balão volumétrico graduado de vidro borossilicato com boca esmerilhada tampa de polipropileno; 100 ml</t>
  </si>
  <si>
    <t>balão volumétrico graduado de vidro borossilicato com boca esmerilhada tampa de polipropileno; 50ml</t>
  </si>
  <si>
    <t>bureta; material vidro borossilicato; aplicação uso laboratorial; características adicionais com torneira teflon e divisão 1/100; capacidade 10 ml</t>
  </si>
  <si>
    <t>copo becker, material vidro, graduação graduado, capacidade 50 ml, formato forma alta, adicional com orla e bico</t>
  </si>
  <si>
    <t>copo tipo becker, material vidro, graduação graduado, capacidade 1000ml, formato forma baixa, adicional com orla</t>
  </si>
  <si>
    <t>copo tipo becker, material vidro, graduação graduado, capacidade 400ml, formato forma baixa, adicional com orla.</t>
  </si>
  <si>
    <t>dessecador; material vidro borossilicato; tipo vácuo; altura 220 mm; diâmetro interno 300 mm; características adicionais com luva; tampa e fundo de porcelana perfurada</t>
  </si>
  <si>
    <t>frasco de vidro; material vidro borossilicato; tipo erlenmeyer; boca larga; capacidade 1.000 ml; características adicionais graduado; com orla; parede reforçada; com tampa de porcelana; aplicação uso laboratorial</t>
  </si>
  <si>
    <t>frasco de vidro, material vidro borossilicato, tipo kitazato, capacidade 125, características adicionais com graduação e saída superior, aplicação filtração a vácuo, diâmetro boca 24</t>
  </si>
  <si>
    <t>condensador em vidro tipo bola de 200 mm com 2 juntas esmerilhadas.</t>
  </si>
  <si>
    <t>frasco de penicilina, bocal 20mm, capacidade 100 ml.</t>
  </si>
  <si>
    <t xml:space="preserve"> indicador de ph, tipo tira de papel, escala 0 a 14.</t>
  </si>
  <si>
    <t>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desmontável para que possa ser autoclavada e/ou esterilizada; calibrada originalmente do fabricante</t>
  </si>
  <si>
    <t>peneira granulométrica, material aço inoxidável, diâmetro 8, altura 2, tamanho abertura malhas 100 mesh</t>
  </si>
  <si>
    <t>pipeta graduada esgotamento total 10 ml</t>
  </si>
  <si>
    <t>pipeta graduada esgotamento total 25 ml</t>
  </si>
  <si>
    <t>pipeta graduada esgotamento total 2 ml</t>
  </si>
  <si>
    <t>pipeta graduada esgotamento total 5 ml</t>
  </si>
  <si>
    <t>pipeta volumétrica esgotamento total 1 ml</t>
  </si>
  <si>
    <t>ponteira para pipeta automática, tipo ponteiras plásticas gilson, sem filtro, transparente, volume 1-200l; livre de dnase, rnase e pirogênio. pacote com 100 und</t>
  </si>
  <si>
    <t>suporte de vidro para pipetas; suporte giratório para pipetas de vidro</t>
  </si>
  <si>
    <t>suporte para tubos de ensaio, capacidade para 24 tubos</t>
  </si>
  <si>
    <t>termômetro para uso geral, escala interna, - 10 +150 c sem teflon</t>
  </si>
  <si>
    <t>tubo de ensaio tamanho 12 x 75 - 5 ml, pacote com 1000 unidades</t>
  </si>
  <si>
    <t>pipeta volumétrica esgotamento total 2 ml</t>
  </si>
  <si>
    <t>pipeta volumétrica esgotamento total 5 ml</t>
  </si>
  <si>
    <t>pipeta graduada vidro, capacidade 10 ml</t>
  </si>
  <si>
    <t>vidro de relógio (lapidado) de 10 cm</t>
  </si>
  <si>
    <t>lâmina laboratório, material vidro, aplicação preparada, dimensões cerca de 75x 25 mm, tipo* conjunto c/ até 100 peças, adicional para botânica</t>
  </si>
  <si>
    <t>peneira granulométrica, material aço inoxidável, diâmetro 8, altura 2, tamanho abertura malhas 115 mesh</t>
  </si>
  <si>
    <t>vidro de relógio (lapidado) de 18 cm</t>
  </si>
  <si>
    <t>caixa de fibra de papelão com tampa f grade divisória para armazenamento de microtubos (tipo eppendorf) e tubo criogênico p/ 100 tubos cap 1.5 / 2.0ml</t>
  </si>
  <si>
    <t>tubos de microcentrífuga; tipo eppendorf; com capacidade de 1,5ml pacote com 1000</t>
  </si>
  <si>
    <t>lâmina laboratório, material vidro, dimensões cerca de 75 x 25 mm, tipo* lapidada, tipo borda borda fosca</t>
  </si>
  <si>
    <t>tubos com vácuo para coleta de sangue, tipo vacutainer k2 com anticoagulante edta(k2e). ref 367861.</t>
  </si>
  <si>
    <t xml:space="preserve"> peneira granulométrica, material aço inoxidável, diâmetro 8, altura 2, tamanho abertura malhas 170 mesh</t>
  </si>
  <si>
    <t>peneira granulométrica, material aço inoxidável, diâmetro 8, altura 2, tamanho abertura malhas 20 mesh</t>
  </si>
  <si>
    <t>peneira granulométrica, material aço inoxidável, diâmetro 8, altura 2, tamanho abertura malhas 270 mesh</t>
  </si>
  <si>
    <t>peneira granulométrica, material aço inoxidável, diâmetro 8, altura 2, tamanho abertura malhas 32 mesh</t>
  </si>
  <si>
    <t>peneira granulométrica, material aço inoxidável, diâmetro 8, altura 2, tamanho abertura malhas 400 mesh</t>
  </si>
  <si>
    <t>peneira granulométrica, material aço inoxidável, diâmetro 8, altura 2, tamanho abertura malhas 65 mesh</t>
  </si>
  <si>
    <t>peneira granulométrica, material aço inoxidável, diâmetro 8, altura 2, tamanho abertura malhas 24 mesh</t>
  </si>
  <si>
    <t>pipeta manual; modelo volumétrica; capacidade 50 ml; material vidro borossilicato; aplicação uso laboratorial; características adicionais bocal e bicos temperados; gravação permanente</t>
  </si>
  <si>
    <t>suporte para buretas</t>
  </si>
  <si>
    <t>termômetro de 100 c a 300 c, vidro</t>
  </si>
  <si>
    <t>13/07/2016 a 12/07/2017</t>
  </si>
  <si>
    <t>DEPARTAMENTO DE SOLOS</t>
  </si>
  <si>
    <t>DEPARTAMENTO DE CIÊNCIAS FARMACÊUTICAS</t>
  </si>
  <si>
    <t>DEPARTAMENTO DE ENGENHARIA QUIMICA</t>
  </si>
  <si>
    <t>DEPARTAMENTO DE EPIDEMIOLOGIA E SAUDE PUBLICA</t>
  </si>
  <si>
    <t>DEPARTAMENTO DE MICROBIOLOGIA E IMUNOLOGIA VETERINÁRIA</t>
  </si>
  <si>
    <t>CAMPUS DA UFRRJ EM TRES RIOS</t>
  </si>
  <si>
    <t>INSTITUTO DE CIENCIAS SOCIAIS APLICADAS</t>
  </si>
  <si>
    <t>2017NE800805</t>
  </si>
  <si>
    <t>2017NE800806</t>
  </si>
  <si>
    <t>2017NE800808</t>
  </si>
  <si>
    <t>2017NE800809</t>
  </si>
  <si>
    <t>2017NE800810</t>
  </si>
  <si>
    <t>2017NE800811</t>
  </si>
  <si>
    <t>2017NE800812</t>
  </si>
  <si>
    <t>2017NE800813</t>
  </si>
  <si>
    <t>2017NE800816</t>
  </si>
  <si>
    <t>2017NE800817</t>
  </si>
  <si>
    <t>2017NE800818</t>
  </si>
  <si>
    <t>2017NE800819</t>
  </si>
  <si>
    <t>DEPARTAMENTO DE CIENCIAS FISIOLOGICAS</t>
  </si>
  <si>
    <t>2017NE800820</t>
  </si>
  <si>
    <t>2017NE800821</t>
  </si>
  <si>
    <t>2017NE800822</t>
  </si>
  <si>
    <t>2017NE800827</t>
  </si>
  <si>
    <t>2017NE800823</t>
  </si>
  <si>
    <t>2017NE800824</t>
  </si>
  <si>
    <t>2017NE800825</t>
  </si>
  <si>
    <t>2017NE800826</t>
  </si>
  <si>
    <t>CONCLUÍDO</t>
  </si>
  <si>
    <t>Papeleta 306/2017</t>
  </si>
  <si>
    <t>Papeleta 226/2017</t>
  </si>
  <si>
    <t>Papeleta 217/2017</t>
  </si>
  <si>
    <t>Papeleta 215/2017</t>
  </si>
  <si>
    <r>
      <t xml:space="preserve">Não foi empenhado a totalidade, pois não havia saldo suficiente na ata de registro de preços. </t>
    </r>
    <r>
      <rPr>
        <b/>
        <sz val="12"/>
        <rFont val="Calibri"/>
        <family val="2"/>
        <scheme val="minor"/>
      </rPr>
      <t>CONCLUÍDO</t>
    </r>
  </si>
  <si>
    <t>Papeleta 282/2017</t>
  </si>
  <si>
    <t>Papeleta 379/2017</t>
  </si>
  <si>
    <r>
      <t xml:space="preserve">Não foi empenhado a totalidade, pois não havia saldo suficiente na ata de registro de preços. </t>
    </r>
    <r>
      <rPr>
        <b/>
        <sz val="11"/>
        <rFont val="Calibri"/>
        <family val="2"/>
        <scheme val="minor"/>
      </rPr>
      <t>CONCLUÍDO</t>
    </r>
  </si>
  <si>
    <t>258/2017</t>
  </si>
  <si>
    <t>Papeleta 258/2017</t>
  </si>
  <si>
    <t>Papeleta 250/2017</t>
  </si>
  <si>
    <t>Papeleta 348/2017</t>
  </si>
  <si>
    <r>
      <t xml:space="preserve">Não foi atendido a totalidade, pois não havia saldo suficiente na ata de registro de preços. </t>
    </r>
    <r>
      <rPr>
        <b/>
        <sz val="11"/>
        <rFont val="Calibri"/>
        <family val="2"/>
        <scheme val="minor"/>
      </rPr>
      <t>CONCLUÍDO</t>
    </r>
  </si>
  <si>
    <t>Não foi atendido a totalidade, pois não havia saldo suficiente na ata de registro de preços. CONCLUÍDO</t>
  </si>
  <si>
    <t>Papeleta 298/2017</t>
  </si>
  <si>
    <t>Papeleta 357/2017</t>
  </si>
  <si>
    <t>Papeleta 284/2017</t>
  </si>
  <si>
    <t>Papeleta 326/2017</t>
  </si>
  <si>
    <t>Papeleta 297/2017</t>
  </si>
  <si>
    <t>Papeleta 323/2017</t>
  </si>
  <si>
    <t>Entrega da NE irá atrasar, resolvendo divergencia no valor do item 141 - 0,07 cent - valor do pacote do Tubo de ensaio?.... Resolvendo.</t>
  </si>
  <si>
    <t>Papeleta 605/20107</t>
  </si>
  <si>
    <t>Papeleta 324/2017</t>
  </si>
  <si>
    <t>Vencido 17/06/2017</t>
  </si>
  <si>
    <t>Papeleta 327/2017</t>
  </si>
  <si>
    <t>Não foi empenhado a totalidade, pois não havia saldo suficiente. CONCLUÍDO</t>
  </si>
  <si>
    <r>
      <t xml:space="preserve">Não foi empenhado a totalidade, pois não havia saldo suficiente. </t>
    </r>
    <r>
      <rPr>
        <b/>
        <sz val="11"/>
        <rFont val="Calibri"/>
        <family val="2"/>
        <scheme val="minor"/>
      </rPr>
      <t>CONCLUÍDO</t>
    </r>
  </si>
  <si>
    <t>Papeleta 648/2017</t>
  </si>
  <si>
    <t>Papaeleta 414/2017</t>
  </si>
  <si>
    <t>Papeleta 364/2017</t>
  </si>
  <si>
    <t>Papeleta 374/2017</t>
  </si>
  <si>
    <t>Vencido 05/08/2017</t>
  </si>
  <si>
    <t>Papeleta 392/2017</t>
  </si>
  <si>
    <t>Papeleta 380/2017</t>
  </si>
  <si>
    <t>Papeleta 468/2017</t>
  </si>
  <si>
    <t>Papeleta 381/2017</t>
  </si>
  <si>
    <t>Papeleta 473/2017</t>
  </si>
  <si>
    <t>Papeleta 413/2017</t>
  </si>
  <si>
    <t>Papeleta 382/2017</t>
  </si>
  <si>
    <t>Papeleta 421/2017</t>
  </si>
  <si>
    <t>Papeleta 363/2017</t>
  </si>
  <si>
    <t>Vencimento 05/08/2017</t>
  </si>
  <si>
    <t>Papeleta 467/2017</t>
  </si>
  <si>
    <t>Não foi empenhado a totalidade, pois não havia saldo suficiente na ata de registro de preços. CONCLUÍDO</t>
  </si>
  <si>
    <t>Ofício de advertência nº 568/ 17 enviado em 26/02/2018</t>
  </si>
  <si>
    <t>Ofício de advertência nº 569/ 17 enviado em 26/02/2018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</si>
</sst>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 &quot;#,##0.00"/>
    <numFmt numFmtId="165" formatCode="_-* #,##0_-;\-* #,##0_-;_-* &quot;-&quot;??_-;_-@_-"/>
    <numFmt numFmtId="166" formatCode="&quot;R$ &quot;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24"/>
      <color rgb="FFFF0000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9.5"/>
      <name val="Arial"/>
      <family val="2"/>
    </font>
    <font>
      <sz val="11"/>
      <name val="Calibri"/>
      <family val="2"/>
      <scheme val="minor"/>
    </font>
    <font>
      <b/>
      <sz val="9"/>
      <name val="Verdana"/>
      <family val="2"/>
    </font>
    <font>
      <b/>
      <sz val="11"/>
      <name val="Calibri"/>
      <family val="2"/>
      <scheme val="minor"/>
    </font>
    <font>
      <b/>
      <sz val="9"/>
      <color rgb="FF187400"/>
      <name val="Verdana"/>
      <family val="2"/>
    </font>
    <font>
      <b/>
      <sz val="12"/>
      <name val="Calibri"/>
      <family val="2"/>
      <scheme val="minor"/>
    </font>
    <font>
      <b/>
      <sz val="9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9" fillId="0" borderId="0"/>
  </cellStyleXfs>
  <cellXfs count="219">
    <xf numFmtId="0" fontId="0" fillId="0" borderId="0" xfId="0"/>
    <xf numFmtId="44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8" fillId="0" borderId="0" xfId="0" applyFont="1"/>
    <xf numFmtId="14" fontId="9" fillId="0" borderId="5" xfId="0" applyNumberFormat="1" applyFont="1" applyBorder="1" applyAlignment="1">
      <alignment horizontal="left"/>
    </xf>
    <xf numFmtId="14" fontId="12" fillId="0" borderId="0" xfId="0" applyNumberFormat="1" applyFont="1" applyBorder="1"/>
    <xf numFmtId="0" fontId="7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11" xfId="0" applyFont="1" applyBorder="1" applyAlignment="1">
      <alignment vertical="center"/>
    </xf>
    <xf numFmtId="0" fontId="7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14" fontId="6" fillId="0" borderId="0" xfId="0" applyNumberFormat="1" applyFont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8" fillId="6" borderId="12" xfId="0" applyNumberFormat="1" applyFont="1" applyFill="1" applyBorder="1" applyAlignment="1">
      <alignment horizontal="center" vertical="center" wrapText="1"/>
    </xf>
    <xf numFmtId="164" fontId="18" fillId="6" borderId="15" xfId="0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1" fontId="18" fillId="7" borderId="12" xfId="0" applyNumberFormat="1" applyFont="1" applyFill="1" applyBorder="1" applyAlignment="1">
      <alignment horizontal="center" vertical="center" wrapText="1"/>
    </xf>
    <xf numFmtId="164" fontId="18" fillId="7" borderId="15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/>
    </xf>
    <xf numFmtId="1" fontId="18" fillId="6" borderId="12" xfId="0" applyNumberFormat="1" applyFont="1" applyFill="1" applyBorder="1" applyAlignment="1">
      <alignment horizontal="center" vertical="center"/>
    </xf>
    <xf numFmtId="164" fontId="18" fillId="6" borderId="15" xfId="0" applyNumberFormat="1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1" fontId="20" fillId="6" borderId="12" xfId="0" applyNumberFormat="1" applyFont="1" applyFill="1" applyBorder="1" applyAlignment="1">
      <alignment horizontal="center" vertical="center"/>
    </xf>
    <xf numFmtId="164" fontId="20" fillId="6" borderId="15" xfId="0" applyNumberFormat="1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/>
    </xf>
    <xf numFmtId="1" fontId="20" fillId="7" borderId="12" xfId="0" applyNumberFormat="1" applyFont="1" applyFill="1" applyBorder="1" applyAlignment="1">
      <alignment horizontal="center" vertical="center"/>
    </xf>
    <xf numFmtId="164" fontId="20" fillId="7" borderId="15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wrapText="1"/>
    </xf>
    <xf numFmtId="1" fontId="18" fillId="8" borderId="12" xfId="0" applyNumberFormat="1" applyFont="1" applyFill="1" applyBorder="1" applyAlignment="1">
      <alignment horizontal="center" vertical="center" wrapText="1"/>
    </xf>
    <xf numFmtId="1" fontId="20" fillId="8" borderId="12" xfId="0" applyNumberFormat="1" applyFont="1" applyFill="1" applyBorder="1" applyAlignment="1">
      <alignment horizontal="center" vertical="center"/>
    </xf>
    <xf numFmtId="164" fontId="20" fillId="8" borderId="15" xfId="0" applyNumberFormat="1" applyFont="1" applyFill="1" applyBorder="1" applyAlignment="1">
      <alignment horizontal="center" vertical="center"/>
    </xf>
    <xf numFmtId="3" fontId="20" fillId="6" borderId="12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" fontId="20" fillId="3" borderId="12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4" fontId="21" fillId="0" borderId="15" xfId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 wrapText="1"/>
    </xf>
    <xf numFmtId="3" fontId="21" fillId="9" borderId="12" xfId="0" applyNumberFormat="1" applyFont="1" applyFill="1" applyBorder="1" applyAlignment="1">
      <alignment horizontal="center" vertical="center"/>
    </xf>
    <xf numFmtId="1" fontId="18" fillId="9" borderId="12" xfId="0" applyNumberFormat="1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 vertical="center"/>
    </xf>
    <xf numFmtId="0" fontId="0" fillId="0" borderId="0" xfId="0" applyFont="1"/>
    <xf numFmtId="0" fontId="24" fillId="1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44" fontId="0" fillId="0" borderId="24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4" fontId="0" fillId="0" borderId="26" xfId="0" applyNumberFormat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4" fillId="11" borderId="29" xfId="0" applyNumberFormat="1" applyFont="1" applyFill="1" applyBorder="1" applyAlignment="1">
      <alignment horizontal="center" vertical="center" wrapText="1"/>
    </xf>
    <xf numFmtId="44" fontId="4" fillId="11" borderId="3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19" xfId="0" pivotButton="1" applyBorder="1" applyAlignment="1">
      <alignment horizontal="center" vertical="center" wrapText="1"/>
    </xf>
    <xf numFmtId="0" fontId="0" fillId="0" borderId="20" xfId="0" pivotButton="1" applyBorder="1" applyAlignment="1">
      <alignment horizontal="center" vertical="center" wrapText="1"/>
    </xf>
    <xf numFmtId="0" fontId="0" fillId="0" borderId="21" xfId="0" pivotButton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0" fillId="11" borderId="18" xfId="0" applyNumberForma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3" borderId="0" xfId="0" applyFill="1"/>
    <xf numFmtId="0" fontId="0" fillId="0" borderId="0" xfId="0" applyFill="1"/>
    <xf numFmtId="166" fontId="20" fillId="7" borderId="1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left" vertical="center" wrapText="1"/>
    </xf>
    <xf numFmtId="3" fontId="0" fillId="0" borderId="17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1" fontId="18" fillId="0" borderId="32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164" fontId="18" fillId="8" borderId="15" xfId="0" applyNumberFormat="1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164" fontId="18" fillId="9" borderId="15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1" fontId="18" fillId="12" borderId="12" xfId="0" applyNumberFormat="1" applyFont="1" applyFill="1" applyBorder="1" applyAlignment="1">
      <alignment horizontal="center" vertical="center" wrapText="1"/>
    </xf>
    <xf numFmtId="164" fontId="18" fillId="1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pivotButton="1" applyBorder="1" applyAlignment="1">
      <alignment horizontal="left" vertical="center" wrapText="1"/>
    </xf>
    <xf numFmtId="0" fontId="31" fillId="6" borderId="12" xfId="0" applyFont="1" applyFill="1" applyBorder="1" applyAlignment="1">
      <alignment horizontal="center" vertical="center" wrapText="1"/>
    </xf>
    <xf numFmtId="3" fontId="31" fillId="6" borderId="12" xfId="0" applyNumberFormat="1" applyFont="1" applyFill="1" applyBorder="1" applyAlignment="1">
      <alignment horizontal="center" vertical="center" wrapText="1"/>
    </xf>
    <xf numFmtId="14" fontId="31" fillId="6" borderId="12" xfId="0" applyNumberFormat="1" applyFont="1" applyFill="1" applyBorder="1" applyAlignment="1">
      <alignment horizontal="center" vertical="center" wrapText="1"/>
    </xf>
    <xf numFmtId="44" fontId="31" fillId="6" borderId="12" xfId="1" applyFont="1" applyFill="1" applyBorder="1" applyAlignment="1">
      <alignment vertical="center" wrapText="1"/>
    </xf>
    <xf numFmtId="44" fontId="31" fillId="6" borderId="12" xfId="1" applyFont="1" applyFill="1" applyBorder="1" applyAlignment="1">
      <alignment horizontal="center" vertical="center" wrapText="1"/>
    </xf>
    <xf numFmtId="14" fontId="32" fillId="6" borderId="12" xfId="0" applyNumberFormat="1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1" fillId="6" borderId="0" xfId="0" applyFont="1" applyFill="1"/>
    <xf numFmtId="0" fontId="31" fillId="6" borderId="12" xfId="0" applyFont="1" applyFill="1" applyBorder="1"/>
    <xf numFmtId="3" fontId="31" fillId="6" borderId="12" xfId="0" applyNumberFormat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wrapText="1"/>
    </xf>
    <xf numFmtId="14" fontId="31" fillId="6" borderId="12" xfId="0" applyNumberFormat="1" applyFont="1" applyFill="1" applyBorder="1" applyAlignment="1">
      <alignment horizontal="center" vertical="center"/>
    </xf>
    <xf numFmtId="44" fontId="31" fillId="6" borderId="12" xfId="1" applyFont="1" applyFill="1" applyBorder="1" applyAlignment="1">
      <alignment horizontal="center" vertical="center"/>
    </xf>
    <xf numFmtId="0" fontId="32" fillId="6" borderId="0" xfId="0" applyFont="1" applyFill="1" applyAlignment="1">
      <alignment vertical="center" wrapText="1"/>
    </xf>
    <xf numFmtId="0" fontId="30" fillId="6" borderId="12" xfId="2" applyFont="1" applyFill="1" applyBorder="1" applyAlignment="1">
      <alignment horizontal="center" vertical="center"/>
    </xf>
    <xf numFmtId="0" fontId="31" fillId="6" borderId="3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1" fillId="6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 wrapText="1"/>
    </xf>
    <xf numFmtId="14" fontId="31" fillId="3" borderId="12" xfId="0" applyNumberFormat="1" applyFont="1" applyFill="1" applyBorder="1" applyAlignment="1">
      <alignment horizontal="center" vertical="center"/>
    </xf>
    <xf numFmtId="44" fontId="31" fillId="3" borderId="12" xfId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4" fontId="0" fillId="3" borderId="12" xfId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14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4" fontId="34" fillId="0" borderId="12" xfId="0" applyNumberFormat="1" applyFont="1" applyBorder="1" applyAlignment="1">
      <alignment horizontal="center" vertical="center" wrapText="1"/>
    </xf>
    <xf numFmtId="14" fontId="32" fillId="6" borderId="32" xfId="0" applyNumberFormat="1" applyFont="1" applyFill="1" applyBorder="1" applyAlignment="1">
      <alignment horizontal="center" vertical="center" wrapText="1"/>
    </xf>
    <xf numFmtId="14" fontId="34" fillId="0" borderId="32" xfId="0" applyNumberFormat="1" applyFont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4" fillId="0" borderId="0" xfId="0" applyNumberFormat="1" applyFont="1" applyAlignment="1">
      <alignment horizontal="center" vertical="center"/>
    </xf>
    <xf numFmtId="14" fontId="34" fillId="0" borderId="33" xfId="0" applyNumberFormat="1" applyFont="1" applyBorder="1" applyAlignment="1">
      <alignment horizontal="center" vertical="center"/>
    </xf>
    <xf numFmtId="14" fontId="34" fillId="0" borderId="36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14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1" fillId="6" borderId="37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1" fillId="6" borderId="36" xfId="0" applyFont="1" applyFill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14" fontId="34" fillId="0" borderId="33" xfId="0" applyNumberFormat="1" applyFont="1" applyBorder="1" applyAlignment="1">
      <alignment horizontal="center" vertical="center" wrapText="1"/>
    </xf>
    <xf numFmtId="14" fontId="34" fillId="0" borderId="32" xfId="0" applyNumberFormat="1" applyFont="1" applyBorder="1" applyAlignment="1">
      <alignment horizontal="center" vertical="center" wrapText="1"/>
    </xf>
    <xf numFmtId="0" fontId="34" fillId="0" borderId="32" xfId="0" applyFont="1" applyBorder="1" applyAlignment="1">
      <alignment vertical="center" wrapText="1"/>
    </xf>
    <xf numFmtId="0" fontId="31" fillId="6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8" fillId="3" borderId="15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1329"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1" defaultTableStyle="TableStyleMedium2" defaultPivotStyle="PivotStyleLight16">
    <tableStyle name="Estilo de Tabela Dinâmica 2" table="0" count="6">
      <tableStyleElement type="wholeTable" dxfId="1328"/>
      <tableStyleElement type="headerRow" dxfId="1327"/>
      <tableStyleElement type="totalRow" dxfId="1326"/>
      <tableStyleElement type="lastColumn" dxfId="1325"/>
      <tableStyleElement type="pageFieldLabels" dxfId="1324"/>
      <tableStyleElement type="pageFieldValues" dxfId="13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20.410'!A1"/><Relationship Id="rId13" Type="http://schemas.openxmlformats.org/officeDocument/2006/relationships/hyperlink" Target="#'260.100'!A1"/><Relationship Id="rId18" Type="http://schemas.openxmlformats.org/officeDocument/2006/relationships/hyperlink" Target="#'280.200'!A1"/><Relationship Id="rId3" Type="http://schemas.openxmlformats.org/officeDocument/2006/relationships/hyperlink" Target="#'210.300'!A1"/><Relationship Id="rId21" Type="http://schemas.openxmlformats.org/officeDocument/2006/relationships/hyperlink" Target="#'290.000'!A1"/><Relationship Id="rId7" Type="http://schemas.openxmlformats.org/officeDocument/2006/relationships/hyperlink" Target="#'220.400'!A1"/><Relationship Id="rId12" Type="http://schemas.openxmlformats.org/officeDocument/2006/relationships/hyperlink" Target="#'260.000'!A1"/><Relationship Id="rId17" Type="http://schemas.openxmlformats.org/officeDocument/2006/relationships/hyperlink" Target="#'280.100'!A1"/><Relationship Id="rId2" Type="http://schemas.openxmlformats.org/officeDocument/2006/relationships/hyperlink" Target="#'190.000'!A1"/><Relationship Id="rId16" Type="http://schemas.openxmlformats.org/officeDocument/2006/relationships/hyperlink" Target="#'270.400'!A1"/><Relationship Id="rId20" Type="http://schemas.openxmlformats.org/officeDocument/2006/relationships/hyperlink" Target="#'280.400'!A1"/><Relationship Id="rId1" Type="http://schemas.openxmlformats.org/officeDocument/2006/relationships/hyperlink" Target="#'180.000'!A1"/><Relationship Id="rId6" Type="http://schemas.openxmlformats.org/officeDocument/2006/relationships/hyperlink" Target="#'220.300'!A1"/><Relationship Id="rId11" Type="http://schemas.openxmlformats.org/officeDocument/2006/relationships/hyperlink" Target="#'230.100'!A1"/><Relationship Id="rId24" Type="http://schemas.openxmlformats.org/officeDocument/2006/relationships/hyperlink" Target="#'600.000'!A1"/><Relationship Id="rId5" Type="http://schemas.openxmlformats.org/officeDocument/2006/relationships/hyperlink" Target="#'220.200'!A1"/><Relationship Id="rId15" Type="http://schemas.openxmlformats.org/officeDocument/2006/relationships/hyperlink" Target="#'270.300'!A1"/><Relationship Id="rId23" Type="http://schemas.openxmlformats.org/officeDocument/2006/relationships/hyperlink" Target="#'400.000'!A1"/><Relationship Id="rId10" Type="http://schemas.openxmlformats.org/officeDocument/2006/relationships/hyperlink" Target="#'220.600'!A1"/><Relationship Id="rId19" Type="http://schemas.openxmlformats.org/officeDocument/2006/relationships/hyperlink" Target="#'280.300'!A1"/><Relationship Id="rId4" Type="http://schemas.openxmlformats.org/officeDocument/2006/relationships/hyperlink" Target="#'220.100'!A1"/><Relationship Id="rId9" Type="http://schemas.openxmlformats.org/officeDocument/2006/relationships/hyperlink" Target="#'220.500'!A1"/><Relationship Id="rId14" Type="http://schemas.openxmlformats.org/officeDocument/2006/relationships/hyperlink" Target="#'260.300'!A1"/><Relationship Id="rId22" Type="http://schemas.openxmlformats.org/officeDocument/2006/relationships/hyperlink" Target="#'310.0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1285875</xdr:colOff>
      <xdr:row>2</xdr:row>
      <xdr:rowOff>495300</xdr:rowOff>
    </xdr:to>
    <xdr:sp macro="" textlink="">
      <xdr:nvSpPr>
        <xdr:cNvPr id="92" name="Fluxograma: Processo alternativo 91">
          <a:hlinkClick xmlns:r="http://schemas.openxmlformats.org/officeDocument/2006/relationships" r:id="rId1"/>
        </xdr:cNvPr>
        <xdr:cNvSpPr/>
      </xdr:nvSpPr>
      <xdr:spPr>
        <a:xfrm>
          <a:off x="0" y="1485899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oneCellAnchor>
    <xdr:from>
      <xdr:col>12</xdr:col>
      <xdr:colOff>304800</xdr:colOff>
      <xdr:row>2</xdr:row>
      <xdr:rowOff>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12487275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1</xdr:col>
      <xdr:colOff>1285875</xdr:colOff>
      <xdr:row>2</xdr:row>
      <xdr:rowOff>485776</xdr:rowOff>
    </xdr:to>
    <xdr:sp macro="" textlink="">
      <xdr:nvSpPr>
        <xdr:cNvPr id="94" name="Fluxograma: Processo alternativo 93">
          <a:hlinkClick xmlns:r="http://schemas.openxmlformats.org/officeDocument/2006/relationships" r:id="rId2"/>
        </xdr:cNvPr>
        <xdr:cNvSpPr/>
      </xdr:nvSpPr>
      <xdr:spPr>
        <a:xfrm>
          <a:off x="1304925" y="14763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190.000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1285875</xdr:colOff>
      <xdr:row>2</xdr:row>
      <xdr:rowOff>485776</xdr:rowOff>
    </xdr:to>
    <xdr:sp macro="" textlink="">
      <xdr:nvSpPr>
        <xdr:cNvPr id="95" name="Fluxograma: Processo alternativo 94">
          <a:hlinkClick xmlns:r="http://schemas.openxmlformats.org/officeDocument/2006/relationships" r:id="rId3"/>
        </xdr:cNvPr>
        <xdr:cNvSpPr/>
      </xdr:nvSpPr>
      <xdr:spPr>
        <a:xfrm>
          <a:off x="2609850" y="14763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210.300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1285875</xdr:colOff>
      <xdr:row>2</xdr:row>
      <xdr:rowOff>485776</xdr:rowOff>
    </xdr:to>
    <xdr:sp macro="" textlink="">
      <xdr:nvSpPr>
        <xdr:cNvPr id="96" name="Fluxograma: Processo alternativo 95">
          <a:hlinkClick xmlns:r="http://schemas.openxmlformats.org/officeDocument/2006/relationships" r:id="rId4"/>
        </xdr:cNvPr>
        <xdr:cNvSpPr/>
      </xdr:nvSpPr>
      <xdr:spPr>
        <a:xfrm>
          <a:off x="3914775" y="14763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220.100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1285875</xdr:colOff>
      <xdr:row>2</xdr:row>
      <xdr:rowOff>485776</xdr:rowOff>
    </xdr:to>
    <xdr:sp macro="" textlink="">
      <xdr:nvSpPr>
        <xdr:cNvPr id="97" name="Fluxograma: Processo alternativo 96">
          <a:hlinkClick xmlns:r="http://schemas.openxmlformats.org/officeDocument/2006/relationships" r:id="rId5"/>
        </xdr:cNvPr>
        <xdr:cNvSpPr/>
      </xdr:nvSpPr>
      <xdr:spPr>
        <a:xfrm>
          <a:off x="5219700" y="14763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220.200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1285875</xdr:colOff>
      <xdr:row>5</xdr:row>
      <xdr:rowOff>104776</xdr:rowOff>
    </xdr:to>
    <xdr:sp macro="" textlink="">
      <xdr:nvSpPr>
        <xdr:cNvPr id="98" name="Fluxograma: Processo alternativo 97">
          <a:hlinkClick xmlns:r="http://schemas.openxmlformats.org/officeDocument/2006/relationships" r:id="rId6"/>
        </xdr:cNvPr>
        <xdr:cNvSpPr/>
      </xdr:nvSpPr>
      <xdr:spPr>
        <a:xfrm>
          <a:off x="0" y="2009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220.300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1285875</xdr:colOff>
      <xdr:row>5</xdr:row>
      <xdr:rowOff>104776</xdr:rowOff>
    </xdr:to>
    <xdr:sp macro="" textlink="">
      <xdr:nvSpPr>
        <xdr:cNvPr id="99" name="Fluxograma: Processo alternativo 98">
          <a:hlinkClick xmlns:r="http://schemas.openxmlformats.org/officeDocument/2006/relationships" r:id="rId7"/>
        </xdr:cNvPr>
        <xdr:cNvSpPr/>
      </xdr:nvSpPr>
      <xdr:spPr>
        <a:xfrm>
          <a:off x="1304925" y="2009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220.400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1285875</xdr:colOff>
      <xdr:row>5</xdr:row>
      <xdr:rowOff>104776</xdr:rowOff>
    </xdr:to>
    <xdr:sp macro="" textlink="">
      <xdr:nvSpPr>
        <xdr:cNvPr id="100" name="Fluxograma: Processo alternativo 99">
          <a:hlinkClick xmlns:r="http://schemas.openxmlformats.org/officeDocument/2006/relationships" r:id="rId8"/>
        </xdr:cNvPr>
        <xdr:cNvSpPr/>
      </xdr:nvSpPr>
      <xdr:spPr>
        <a:xfrm>
          <a:off x="2609850" y="2009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220.410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1285875</xdr:colOff>
      <xdr:row>5</xdr:row>
      <xdr:rowOff>104776</xdr:rowOff>
    </xdr:to>
    <xdr:sp macro="" textlink="">
      <xdr:nvSpPr>
        <xdr:cNvPr id="101" name="Fluxograma: Processo alternativo 100">
          <a:hlinkClick xmlns:r="http://schemas.openxmlformats.org/officeDocument/2006/relationships" r:id="rId9"/>
        </xdr:cNvPr>
        <xdr:cNvSpPr/>
      </xdr:nvSpPr>
      <xdr:spPr>
        <a:xfrm>
          <a:off x="3914775" y="2009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220.500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1285875</xdr:colOff>
      <xdr:row>5</xdr:row>
      <xdr:rowOff>104776</xdr:rowOff>
    </xdr:to>
    <xdr:sp macro="" textlink="">
      <xdr:nvSpPr>
        <xdr:cNvPr id="102" name="Fluxograma: Processo alternativo 101">
          <a:hlinkClick xmlns:r="http://schemas.openxmlformats.org/officeDocument/2006/relationships" r:id="rId10"/>
        </xdr:cNvPr>
        <xdr:cNvSpPr/>
      </xdr:nvSpPr>
      <xdr:spPr>
        <a:xfrm>
          <a:off x="5219700" y="20097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220.600</a:t>
          </a:r>
        </a:p>
      </xdr:txBody>
    </xdr:sp>
    <xdr:clientData/>
  </xdr:twoCellAnchor>
  <xdr:twoCellAnchor>
    <xdr:from>
      <xdr:col>0</xdr:col>
      <xdr:colOff>9525</xdr:colOff>
      <xdr:row>5</xdr:row>
      <xdr:rowOff>161925</xdr:rowOff>
    </xdr:from>
    <xdr:to>
      <xdr:col>0</xdr:col>
      <xdr:colOff>1295400</xdr:colOff>
      <xdr:row>8</xdr:row>
      <xdr:rowOff>76201</xdr:rowOff>
    </xdr:to>
    <xdr:sp macro="" textlink="">
      <xdr:nvSpPr>
        <xdr:cNvPr id="103" name="Fluxograma: Processo alternativo 102">
          <a:hlinkClick xmlns:r="http://schemas.openxmlformats.org/officeDocument/2006/relationships" r:id="rId11"/>
        </xdr:cNvPr>
        <xdr:cNvSpPr/>
      </xdr:nvSpPr>
      <xdr:spPr>
        <a:xfrm>
          <a:off x="952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230.100</a:t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1</xdr:col>
      <xdr:colOff>1285875</xdr:colOff>
      <xdr:row>8</xdr:row>
      <xdr:rowOff>76201</xdr:rowOff>
    </xdr:to>
    <xdr:sp macro="" textlink="">
      <xdr:nvSpPr>
        <xdr:cNvPr id="104" name="Fluxograma: Processo alternativo 103">
          <a:hlinkClick xmlns:r="http://schemas.openxmlformats.org/officeDocument/2006/relationships" r:id="rId12"/>
        </xdr:cNvPr>
        <xdr:cNvSpPr/>
      </xdr:nvSpPr>
      <xdr:spPr>
        <a:xfrm>
          <a:off x="130492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260.000</a:t>
          </a:r>
        </a:p>
      </xdr:txBody>
    </xdr:sp>
    <xdr:clientData/>
  </xdr:twoCellAnchor>
  <xdr:twoCellAnchor>
    <xdr:from>
      <xdr:col>2</xdr:col>
      <xdr:colOff>9525</xdr:colOff>
      <xdr:row>5</xdr:row>
      <xdr:rowOff>161925</xdr:rowOff>
    </xdr:from>
    <xdr:to>
      <xdr:col>2</xdr:col>
      <xdr:colOff>1295400</xdr:colOff>
      <xdr:row>8</xdr:row>
      <xdr:rowOff>76201</xdr:rowOff>
    </xdr:to>
    <xdr:sp macro="" textlink="">
      <xdr:nvSpPr>
        <xdr:cNvPr id="105" name="Fluxograma: Processo alternativo 104">
          <a:hlinkClick xmlns:r="http://schemas.openxmlformats.org/officeDocument/2006/relationships" r:id="rId13"/>
        </xdr:cNvPr>
        <xdr:cNvSpPr/>
      </xdr:nvSpPr>
      <xdr:spPr>
        <a:xfrm>
          <a:off x="2619375" y="25527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260.100</a:t>
          </a:r>
        </a:p>
      </xdr:txBody>
    </xdr:sp>
    <xdr:clientData/>
  </xdr:twoCellAnchor>
  <xdr:twoCellAnchor>
    <xdr:from>
      <xdr:col>3</xdr:col>
      <xdr:colOff>28575</xdr:colOff>
      <xdr:row>5</xdr:row>
      <xdr:rowOff>152400</xdr:rowOff>
    </xdr:from>
    <xdr:to>
      <xdr:col>4</xdr:col>
      <xdr:colOff>9525</xdr:colOff>
      <xdr:row>8</xdr:row>
      <xdr:rowOff>66676</xdr:rowOff>
    </xdr:to>
    <xdr:sp macro="" textlink="">
      <xdr:nvSpPr>
        <xdr:cNvPr id="22" name="Fluxograma: Processo alternativo 21">
          <a:hlinkClick xmlns:r="http://schemas.openxmlformats.org/officeDocument/2006/relationships" r:id="rId14"/>
        </xdr:cNvPr>
        <xdr:cNvSpPr/>
      </xdr:nvSpPr>
      <xdr:spPr>
        <a:xfrm>
          <a:off x="3943350" y="2705100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260.300</a:t>
          </a:r>
        </a:p>
      </xdr:txBody>
    </xdr:sp>
    <xdr:clientData/>
  </xdr:twoCellAnchor>
  <xdr:twoCellAnchor>
    <xdr:from>
      <xdr:col>4</xdr:col>
      <xdr:colOff>47625</xdr:colOff>
      <xdr:row>5</xdr:row>
      <xdr:rowOff>171450</xdr:rowOff>
    </xdr:from>
    <xdr:to>
      <xdr:col>5</xdr:col>
      <xdr:colOff>28575</xdr:colOff>
      <xdr:row>8</xdr:row>
      <xdr:rowOff>85726</xdr:rowOff>
    </xdr:to>
    <xdr:sp macro="" textlink="">
      <xdr:nvSpPr>
        <xdr:cNvPr id="25" name="Fluxograma: Processo alternativo 24">
          <a:hlinkClick xmlns:r="http://schemas.openxmlformats.org/officeDocument/2006/relationships" r:id="rId15"/>
        </xdr:cNvPr>
        <xdr:cNvSpPr/>
      </xdr:nvSpPr>
      <xdr:spPr>
        <a:xfrm>
          <a:off x="5267325" y="2724150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270.300</a:t>
          </a:r>
        </a:p>
      </xdr:txBody>
    </xdr:sp>
    <xdr:clientData/>
  </xdr:twoCellAnchor>
  <xdr:twoCellAnchor>
    <xdr:from>
      <xdr:col>0</xdr:col>
      <xdr:colOff>9525</xdr:colOff>
      <xdr:row>8</xdr:row>
      <xdr:rowOff>123825</xdr:rowOff>
    </xdr:from>
    <xdr:to>
      <xdr:col>0</xdr:col>
      <xdr:colOff>1295400</xdr:colOff>
      <xdr:row>11</xdr:row>
      <xdr:rowOff>38101</xdr:rowOff>
    </xdr:to>
    <xdr:sp macro="" textlink="">
      <xdr:nvSpPr>
        <xdr:cNvPr id="27" name="Fluxograma: Processo alternativo 26">
          <a:hlinkClick xmlns:r="http://schemas.openxmlformats.org/officeDocument/2006/relationships" r:id="rId16"/>
        </xdr:cNvPr>
        <xdr:cNvSpPr/>
      </xdr:nvSpPr>
      <xdr:spPr>
        <a:xfrm>
          <a:off x="9525" y="32480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270.400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1</xdr:col>
      <xdr:colOff>1295400</xdr:colOff>
      <xdr:row>11</xdr:row>
      <xdr:rowOff>38101</xdr:rowOff>
    </xdr:to>
    <xdr:sp macro="" textlink="">
      <xdr:nvSpPr>
        <xdr:cNvPr id="28" name="Fluxograma: Processo alternativo 27">
          <a:hlinkClick xmlns:r="http://schemas.openxmlformats.org/officeDocument/2006/relationships" r:id="rId17"/>
        </xdr:cNvPr>
        <xdr:cNvSpPr/>
      </xdr:nvSpPr>
      <xdr:spPr>
        <a:xfrm>
          <a:off x="1314450" y="32480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280.100</a:t>
          </a:r>
        </a:p>
      </xdr:txBody>
    </xdr:sp>
    <xdr:clientData/>
  </xdr:twoCellAnchor>
  <xdr:twoCellAnchor>
    <xdr:from>
      <xdr:col>2</xdr:col>
      <xdr:colOff>28575</xdr:colOff>
      <xdr:row>8</xdr:row>
      <xdr:rowOff>123825</xdr:rowOff>
    </xdr:from>
    <xdr:to>
      <xdr:col>3</xdr:col>
      <xdr:colOff>9525</xdr:colOff>
      <xdr:row>11</xdr:row>
      <xdr:rowOff>38101</xdr:rowOff>
    </xdr:to>
    <xdr:sp macro="" textlink="">
      <xdr:nvSpPr>
        <xdr:cNvPr id="30" name="Fluxograma: Processo alternativo 29">
          <a:hlinkClick xmlns:r="http://schemas.openxmlformats.org/officeDocument/2006/relationships" r:id="rId18"/>
        </xdr:cNvPr>
        <xdr:cNvSpPr/>
      </xdr:nvSpPr>
      <xdr:spPr>
        <a:xfrm>
          <a:off x="2638425" y="32480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280.200</a:t>
          </a:r>
        </a:p>
      </xdr:txBody>
    </xdr:sp>
    <xdr:clientData/>
  </xdr:twoCellAnchor>
  <xdr:twoCellAnchor>
    <xdr:from>
      <xdr:col>3</xdr:col>
      <xdr:colOff>66675</xdr:colOff>
      <xdr:row>8</xdr:row>
      <xdr:rowOff>114300</xdr:rowOff>
    </xdr:from>
    <xdr:to>
      <xdr:col>4</xdr:col>
      <xdr:colOff>47625</xdr:colOff>
      <xdr:row>11</xdr:row>
      <xdr:rowOff>28576</xdr:rowOff>
    </xdr:to>
    <xdr:sp macro="" textlink="">
      <xdr:nvSpPr>
        <xdr:cNvPr id="31" name="Fluxograma: Processo alternativo 30">
          <a:hlinkClick xmlns:r="http://schemas.openxmlformats.org/officeDocument/2006/relationships" r:id="rId19"/>
        </xdr:cNvPr>
        <xdr:cNvSpPr/>
      </xdr:nvSpPr>
      <xdr:spPr>
        <a:xfrm>
          <a:off x="3981450" y="3238500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280.300</a:t>
          </a:r>
        </a:p>
      </xdr:txBody>
    </xdr:sp>
    <xdr:clientData/>
  </xdr:twoCellAnchor>
  <xdr:twoCellAnchor>
    <xdr:from>
      <xdr:col>4</xdr:col>
      <xdr:colOff>76200</xdr:colOff>
      <xdr:row>8</xdr:row>
      <xdr:rowOff>123825</xdr:rowOff>
    </xdr:from>
    <xdr:to>
      <xdr:col>5</xdr:col>
      <xdr:colOff>57150</xdr:colOff>
      <xdr:row>11</xdr:row>
      <xdr:rowOff>38101</xdr:rowOff>
    </xdr:to>
    <xdr:sp macro="" textlink="">
      <xdr:nvSpPr>
        <xdr:cNvPr id="32" name="Fluxograma: Processo alternativo 31">
          <a:hlinkClick xmlns:r="http://schemas.openxmlformats.org/officeDocument/2006/relationships" r:id="rId20"/>
        </xdr:cNvPr>
        <xdr:cNvSpPr/>
      </xdr:nvSpPr>
      <xdr:spPr>
        <a:xfrm>
          <a:off x="5295900" y="32480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280.400</a:t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1285875</xdr:colOff>
      <xdr:row>14</xdr:row>
      <xdr:rowOff>38101</xdr:rowOff>
    </xdr:to>
    <xdr:sp macro="" textlink="">
      <xdr:nvSpPr>
        <xdr:cNvPr id="34" name="Fluxograma: Processo alternativo 33">
          <a:hlinkClick xmlns:r="http://schemas.openxmlformats.org/officeDocument/2006/relationships" r:id="rId21"/>
        </xdr:cNvPr>
        <xdr:cNvSpPr/>
      </xdr:nvSpPr>
      <xdr:spPr>
        <a:xfrm>
          <a:off x="0" y="38195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290.000</a:t>
          </a:r>
        </a:p>
      </xdr:txBody>
    </xdr:sp>
    <xdr:clientData/>
  </xdr:twoCellAnchor>
  <xdr:twoCellAnchor>
    <xdr:from>
      <xdr:col>1</xdr:col>
      <xdr:colOff>19050</xdr:colOff>
      <xdr:row>11</xdr:row>
      <xdr:rowOff>123825</xdr:rowOff>
    </xdr:from>
    <xdr:to>
      <xdr:col>2</xdr:col>
      <xdr:colOff>0</xdr:colOff>
      <xdr:row>14</xdr:row>
      <xdr:rowOff>38101</xdr:rowOff>
    </xdr:to>
    <xdr:sp macro="" textlink="">
      <xdr:nvSpPr>
        <xdr:cNvPr id="35" name="Fluxograma: Processo alternativo 34">
          <a:hlinkClick xmlns:r="http://schemas.openxmlformats.org/officeDocument/2006/relationships" r:id="rId22"/>
        </xdr:cNvPr>
        <xdr:cNvSpPr/>
      </xdr:nvSpPr>
      <xdr:spPr>
        <a:xfrm>
          <a:off x="1323975" y="38195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310.000</a:t>
          </a:r>
        </a:p>
      </xdr:txBody>
    </xdr:sp>
    <xdr:clientData/>
  </xdr:twoCellAnchor>
  <xdr:twoCellAnchor>
    <xdr:from>
      <xdr:col>2</xdr:col>
      <xdr:colOff>38100</xdr:colOff>
      <xdr:row>11</xdr:row>
      <xdr:rowOff>123825</xdr:rowOff>
    </xdr:from>
    <xdr:to>
      <xdr:col>3</xdr:col>
      <xdr:colOff>19050</xdr:colOff>
      <xdr:row>14</xdr:row>
      <xdr:rowOff>38101</xdr:rowOff>
    </xdr:to>
    <xdr:sp macro="" textlink="">
      <xdr:nvSpPr>
        <xdr:cNvPr id="36" name="Fluxograma: Processo alternativo 35">
          <a:hlinkClick xmlns:r="http://schemas.openxmlformats.org/officeDocument/2006/relationships" r:id="rId23"/>
        </xdr:cNvPr>
        <xdr:cNvSpPr/>
      </xdr:nvSpPr>
      <xdr:spPr>
        <a:xfrm>
          <a:off x="2647950" y="381952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400.000</a:t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4</xdr:col>
      <xdr:colOff>47625</xdr:colOff>
      <xdr:row>14</xdr:row>
      <xdr:rowOff>19051</xdr:rowOff>
    </xdr:to>
    <xdr:sp macro="" textlink="">
      <xdr:nvSpPr>
        <xdr:cNvPr id="37" name="Fluxograma: Processo alternativo 36">
          <a:hlinkClick xmlns:r="http://schemas.openxmlformats.org/officeDocument/2006/relationships" r:id="rId24"/>
        </xdr:cNvPr>
        <xdr:cNvSpPr/>
      </xdr:nvSpPr>
      <xdr:spPr>
        <a:xfrm>
          <a:off x="3981450" y="3800475"/>
          <a:ext cx="1285875" cy="485776"/>
        </a:xfrm>
        <a:prstGeom prst="flowChartAlternateProcess">
          <a:avLst/>
        </a:prstGeom>
        <a:solidFill>
          <a:srgbClr val="70AD47">
            <a:lumMod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2409825</xdr:colOff>
      <xdr:row>28</xdr:row>
      <xdr:rowOff>47625</xdr:rowOff>
    </xdr:from>
    <xdr:to>
      <xdr:col>0</xdr:col>
      <xdr:colOff>3809999</xdr:colOff>
      <xdr:row>31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17824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2733675</xdr:colOff>
      <xdr:row>19</xdr:row>
      <xdr:rowOff>57150</xdr:rowOff>
    </xdr:from>
    <xdr:to>
      <xdr:col>0</xdr:col>
      <xdr:colOff>4133849</xdr:colOff>
      <xdr:row>22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172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2990850</xdr:colOff>
      <xdr:row>20</xdr:row>
      <xdr:rowOff>180975</xdr:rowOff>
    </xdr:from>
    <xdr:to>
      <xdr:col>0</xdr:col>
      <xdr:colOff>4391024</xdr:colOff>
      <xdr:row>23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6581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2543175</xdr:colOff>
      <xdr:row>11</xdr:row>
      <xdr:rowOff>142875</xdr:rowOff>
    </xdr:from>
    <xdr:to>
      <xdr:col>0</xdr:col>
      <xdr:colOff>3943349</xdr:colOff>
      <xdr:row>14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38766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3019425</xdr:colOff>
      <xdr:row>9</xdr:row>
      <xdr:rowOff>114300</xdr:rowOff>
    </xdr:from>
    <xdr:to>
      <xdr:col>0</xdr:col>
      <xdr:colOff>4419599</xdr:colOff>
      <xdr:row>12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895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3190875</xdr:colOff>
      <xdr:row>21</xdr:row>
      <xdr:rowOff>142875</xdr:rowOff>
    </xdr:from>
    <xdr:to>
      <xdr:col>0</xdr:col>
      <xdr:colOff>4591049</xdr:colOff>
      <xdr:row>24</xdr:row>
      <xdr:rowOff>104775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91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2447925</xdr:colOff>
      <xdr:row>16</xdr:row>
      <xdr:rowOff>95250</xdr:rowOff>
    </xdr:from>
    <xdr:to>
      <xdr:col>0</xdr:col>
      <xdr:colOff>3848099</xdr:colOff>
      <xdr:row>19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781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2867025</xdr:colOff>
      <xdr:row>147</xdr:row>
      <xdr:rowOff>38100</xdr:rowOff>
    </xdr:from>
    <xdr:to>
      <xdr:col>0</xdr:col>
      <xdr:colOff>4267199</xdr:colOff>
      <xdr:row>150</xdr:row>
      <xdr:rowOff>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87324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2466975</xdr:colOff>
      <xdr:row>20</xdr:row>
      <xdr:rowOff>114300</xdr:rowOff>
    </xdr:from>
    <xdr:to>
      <xdr:col>0</xdr:col>
      <xdr:colOff>3867149</xdr:colOff>
      <xdr:row>23</xdr:row>
      <xdr:rowOff>76200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6134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2486025</xdr:colOff>
      <xdr:row>8</xdr:row>
      <xdr:rowOff>19050</xdr:rowOff>
    </xdr:from>
    <xdr:to>
      <xdr:col>0</xdr:col>
      <xdr:colOff>3886199</xdr:colOff>
      <xdr:row>10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9908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2381250</xdr:colOff>
      <xdr:row>67</xdr:row>
      <xdr:rowOff>152400</xdr:rowOff>
    </xdr:from>
    <xdr:to>
      <xdr:col>0</xdr:col>
      <xdr:colOff>3781424</xdr:colOff>
      <xdr:row>70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59842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2609850</xdr:colOff>
      <xdr:row>27</xdr:row>
      <xdr:rowOff>152400</xdr:rowOff>
    </xdr:from>
    <xdr:to>
      <xdr:col>0</xdr:col>
      <xdr:colOff>4010024</xdr:colOff>
      <xdr:row>30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791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2171700</xdr:colOff>
      <xdr:row>17</xdr:row>
      <xdr:rowOff>95250</xdr:rowOff>
    </xdr:from>
    <xdr:to>
      <xdr:col>0</xdr:col>
      <xdr:colOff>3571874</xdr:colOff>
      <xdr:row>20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78295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40</xdr:row>
      <xdr:rowOff>161925</xdr:rowOff>
    </xdr:from>
    <xdr:to>
      <xdr:col>0</xdr:col>
      <xdr:colOff>4143374</xdr:colOff>
      <xdr:row>43</xdr:row>
      <xdr:rowOff>123825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4944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1609725</xdr:colOff>
      <xdr:row>9</xdr:row>
      <xdr:rowOff>123825</xdr:rowOff>
    </xdr:from>
    <xdr:to>
      <xdr:col>0</xdr:col>
      <xdr:colOff>3009899</xdr:colOff>
      <xdr:row>12</xdr:row>
      <xdr:rowOff>85725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32861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3000375</xdr:colOff>
      <xdr:row>26</xdr:row>
      <xdr:rowOff>19050</xdr:rowOff>
    </xdr:from>
    <xdr:to>
      <xdr:col>0</xdr:col>
      <xdr:colOff>4400549</xdr:colOff>
      <xdr:row>28</xdr:row>
      <xdr:rowOff>171450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991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2495550</xdr:colOff>
      <xdr:row>14</xdr:row>
      <xdr:rowOff>95250</xdr:rowOff>
    </xdr:from>
    <xdr:to>
      <xdr:col>0</xdr:col>
      <xdr:colOff>3895724</xdr:colOff>
      <xdr:row>17</xdr:row>
      <xdr:rowOff>57150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4591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2676525</xdr:colOff>
      <xdr:row>49</xdr:row>
      <xdr:rowOff>180975</xdr:rowOff>
    </xdr:from>
    <xdr:to>
      <xdr:col>0</xdr:col>
      <xdr:colOff>4076699</xdr:colOff>
      <xdr:row>52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8773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2581275</xdr:colOff>
      <xdr:row>15</xdr:row>
      <xdr:rowOff>171450</xdr:rowOff>
    </xdr:from>
    <xdr:to>
      <xdr:col>0</xdr:col>
      <xdr:colOff>3981449</xdr:colOff>
      <xdr:row>18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5238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2409825</xdr:colOff>
      <xdr:row>27</xdr:row>
      <xdr:rowOff>171450</xdr:rowOff>
    </xdr:from>
    <xdr:to>
      <xdr:col>0</xdr:col>
      <xdr:colOff>3809999</xdr:colOff>
      <xdr:row>30</xdr:row>
      <xdr:rowOff>133350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98107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2724150</xdr:colOff>
      <xdr:row>9</xdr:row>
      <xdr:rowOff>133350</xdr:rowOff>
    </xdr:from>
    <xdr:to>
      <xdr:col>0</xdr:col>
      <xdr:colOff>4124324</xdr:colOff>
      <xdr:row>12</xdr:row>
      <xdr:rowOff>95250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7241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2552700</xdr:colOff>
      <xdr:row>17</xdr:row>
      <xdr:rowOff>152400</xdr:rowOff>
    </xdr:from>
    <xdr:to>
      <xdr:col>0</xdr:col>
      <xdr:colOff>3952874</xdr:colOff>
      <xdr:row>20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63627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2371725</xdr:colOff>
      <xdr:row>15</xdr:row>
      <xdr:rowOff>28575</xdr:rowOff>
    </xdr:from>
    <xdr:to>
      <xdr:col>0</xdr:col>
      <xdr:colOff>3771899</xdr:colOff>
      <xdr:row>17</xdr:row>
      <xdr:rowOff>180975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71913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1133475</xdr:colOff>
      <xdr:row>2</xdr:row>
      <xdr:rowOff>266700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1" y="133350"/>
          <a:ext cx="14001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2762250</xdr:colOff>
      <xdr:row>7</xdr:row>
      <xdr:rowOff>180975</xdr:rowOff>
    </xdr:from>
    <xdr:to>
      <xdr:col>0</xdr:col>
      <xdr:colOff>4162424</xdr:colOff>
      <xdr:row>10</xdr:row>
      <xdr:rowOff>142875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390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jhanses" refreshedDate="43229.63339884259" createdVersion="5" refreshedVersion="5" minRefreshableVersion="3" recordCount="489">
  <cacheSource type="worksheet">
    <worksheetSource ref="A1:T490" sheet="Plan1"/>
  </cacheSource>
  <cacheFields count="20">
    <cacheField name="PROCESSO" numFmtId="0">
      <sharedItems/>
    </cacheField>
    <cacheField name="PREGÃO" numFmtId="0">
      <sharedItems/>
    </cacheField>
    <cacheField name="VIGÊNCIA" numFmtId="0">
      <sharedItems/>
    </cacheField>
    <cacheField name="CENTRO DE CUSTO" numFmtId="3">
      <sharedItems containsSemiMixedTypes="0" containsString="0" containsNumber="1" containsInteger="1" minValue="180000" maxValue="600000" count="24">
        <n v="180000"/>
        <n v="220410"/>
        <n v="190000"/>
        <n v="220100"/>
        <n v="220300"/>
        <n v="220500"/>
        <n v="260000"/>
        <n v="230100"/>
        <n v="270400"/>
        <n v="280400"/>
        <n v="290000"/>
        <n v="310000"/>
        <n v="600000"/>
        <n v="220400"/>
        <n v="260100"/>
        <n v="260300"/>
        <n v="280300"/>
        <n v="220200"/>
        <n v="280200"/>
        <n v="210300"/>
        <n v="220600"/>
        <n v="270300"/>
        <n v="280100"/>
        <n v="40000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170"/>
    </cacheField>
    <cacheField name="DESCRIÇÃO DO PRODUTO" numFmtId="0">
      <sharedItems count="149" longText="1">
        <s v="barra magnética lisa 0,7 x 30 mm sem anel"/>
        <s v="barra magnética lisa 10 x 50 mm sem anel."/>
        <s v="barrilete de pvc capacidade 30 l"/>
        <s v="bastão agitador fluídos; material vidro; comprimento 300 mm; diâmetro 10 mm; aplicação laboratório; características adicionais pontas lapidadas."/>
        <s v="bico de bünsen, material base em ferro, componentes com registro, altura cercade 15 cm"/>
        <s v="copo becker em vidro graduado capacidade 1000 ml"/>
        <s v="copo tipo becker, material vidro, graduação graduado, capacidade 250ml, formato forma baixa, adicional com orla."/>
        <s v="copo tipo becker, material vidro, graduação graduado, capacidade 500, formato forma alta, adicional com orla e bico."/>
        <s v="copo tipo becker, material vidro, graduação graduado, capacidade 600ml, formato forma baixa, adicional com orla"/>
        <s v="copo tipo becker; feito em polipropileno; forma alta; graduado; capacidade de 50 ml."/>
        <s v="copo tipo becker; em plástico polipropileno; autoclavável; capacidade de 150 ml"/>
        <s v="copo tipo becker, material vidro, graduação graduado, capacidade 100, formato forma alta, adicional com orla e bico"/>
        <s v="eletrodo combinado universal de vidro, referência interna ag/agcl, para uso geral, com junção cerâmica."/>
        <s v="embalagem de vidro com tampa de metal para conservas capacidade 600g."/>
        <s v="escorredor vidros; material polipropileno branco; quantidade pinos 50; tipo parede / lavável; comprimento 100 cm; largura 50 cm; aplicação laboratorial."/>
        <s v="escova laboratório, formato cilíndrica, material cabo arame, material cerda cerda em crina de cavalo, diâmetro 0,8 cm, comprimento 20 cm, acessórios pontaem pincel"/>
        <s v="escova para lavar vidrarias, com cerda de 120mm, pincel de 40mm, cabo de 250mm e diâmetro de 60mm, com cerdas 100% crina animal e haste de aço inoxidável"/>
        <s v="tigela, almofariz de ágata com pistilo de 100 ml"/>
        <s v="dessecador em vidro de 200 mm com tampa; luva e placa de porcelana"/>
        <s v="balão laboratório; material vidro borossilicato transparente, tipo fundo chato, capacidade 100, comprimento junta 40, diâmetro junta 24, quantidade bocas 1"/>
        <s v="balão laboratório; material vidro borossilicato; tipo erlenmeyer graduado; capacidade 500; quantidade bocas 1; características adicionais gargalo curto; tipo junta esmerilhada"/>
        <s v="balão volumétrico graduado de vidro borossilicato com boca esmerilhada tampa de polipropileno; 2000 ml"/>
        <s v="balão volumétrico graduado em vidro com rolha de poiletileno capacidade; 500 ml"/>
        <s v="balão volumétrico, material vidro borossilicato, tipo saída gargalo, capacidade 1000, modelo fundo chato."/>
        <s v="copo berzelius; forma alta; em vidro graduado capacidade 500 ml."/>
        <s v="copo; material polipropileno tipo becker; graduação mililitros; capacidade 4.000; características adicionais forma baixa."/>
        <s v="copo tipo becker, material vidro, graduação graduado, capacidade 500, formato forma alta, adicional com orla e bico"/>
        <s v="copo tipo becker; em plástico polipropileno; graduação mililitros; capacidade 1.000; transmitância transparente"/>
        <s v="copo tipo becker; em plástico polipropileno; graduação mililitros; capacidade 2.000; transmitância transparente."/>
        <s v="copo tipo becker; em plástico polipropileno; autoclavável; capacidade de 600 ml"/>
        <s v="copo tipo becker, material vidro, graduação graduado, capacidade 200ml, formato forma alta, adicional com orla e bico."/>
        <s v="copo tipo becker, material vidro, graduação graduado, capacidade 400ml, formato forma baixa, adicional com orla"/>
        <s v="escova laboratório, formato cilíndrica, material cabo arame, material cerda cerda em crina de cavalo,diâmetro 12,comprimento 25, acessórios ponta em pincel."/>
        <s v="escova laboratório, formato cilíndrica, material cabo arame, material cerda cerda em crina de cavalo, diâmetro 2 cm, comprimento 25 cm, acessórios ponta em pincel"/>
        <s v="escova laboratório, formato cilíndrica, material cabo arame, material cerda cerda em crina de cavalo, diâmetro 3 cm, comprimento 11 cm, acessórios ponta em pincel"/>
        <s v="escova para lavar vidrarias, com cerda de 210mm, pincel de 40mm, cabo de 300mm e diâmetro de 80mm, com cerdas 100% crina animal e haste de aço inoxidável."/>
        <s v="frasco de vidro; material vidro borossilicato; tipo erlenmeyer; boca estreita; capacidade 125 ml; características adicionais graduado; com orla; aplicação uso laboratorial"/>
        <s v="frasco de vidro; material vidro borossilicato; tipo erlenmeyer; boca estreita; capacidade 500 ml; características adicionais graduado; com orla; aplicação uso laboratorial"/>
        <s v="frasco em vidro graduado boca estreita capacidade 100 ml"/>
        <s v="frasco erlenmeyer em vidro boca estreita capacidade 100 ml"/>
        <s v="frasco erlenmeyer em vidro boca estreita capacidade 50 ml"/>
        <s v="barra magnética lisa 9 x 50 mm sem anel."/>
        <s v="copo becker, material vidro, graduação graduado, capacidade 1000 ml, formato forma alta, adicional com orla e bico"/>
        <s v="copo tipo becker, material vidro, graduação graduado, capacidade 1000ml, formato forma baixa, adicional com orla."/>
        <s v="copo tipo becker, material vidro, graduação graduado, capacidade 250ml, formato forma baixa, adicional com orla"/>
        <s v="copo tipo becker; feito em vidro; forma baixa; graduado; capacidade de 1000 ml"/>
        <s v="copo tipo becker; feito em polipropileno; forma alta; graduado; capacidade de 250 ml."/>
        <s v="cubeta, material quartzo, formato quadrada, características adicionais com 2 faces polidas, com tampa, caminho ótico 10mm, capacidade 3,5, aplicação espectrofotômetro, faixa trabalho 190 a 2500 nm."/>
        <s v="frasco de vidro; material vidro borossilicato; tipo erlenmeyer; boca larga; capacidade 250 ml; características adicionais graduado; com orla; aplicação uso laboratorial"/>
        <s v="frasco de borosilicato graduado capacidade 100 ml."/>
        <s v="frasco de mariotte com torneira e boca esmerilhada de 1000 ml"/>
        <s v="aparelho para determinação de clevenger óleos essenciais 1000ml"/>
        <s v="balão fundo redondo com junta 24/40 capacidade 1000 ml"/>
        <s v=" balão laboratório, material vidro borosilicato; tipo erlenmeyer graduado; capacidade 250; quantidade bocas 1; características adicionais gargalo curto; tipo junta esmerilhada"/>
        <s v="balão volumétrico, capacidade 50ml, material vidro, tipo saída gargalo, material tampa polietileno"/>
        <s v=" balão volumétrico graduado de vidro borossilicato com boca esmerilhada tampa de polipropileno; 25 ml"/>
        <s v="barra magnética lisa 5 x 15 mm sem anel"/>
        <s v="bureta; material vidro; aplicação aparelho acidimetro de dornic; características adicionais graduada em 2ml; intervalo de 0,01ml e 0,05ml"/>
        <s v="bureta; material vidro borossilicato; aplicação uso laboratorial; características adicionais com torneira teflon e divisão 1/100; capacidade 50 ml."/>
        <s v="cadinho em porcelana forma alta de 250 ml"/>
        <s v="copo becker em polietileno graduado capacidade 2000 ml"/>
        <s v="copo tipo becker; feito em vidro; forma alta; graduado; capacidade de 1000 ml."/>
        <s v="copo tipo becker; feito em vidro; forma alta; graduado; capacidade de 250 ml."/>
        <s v="copo tipo becker; feito em vidro; forma alta; graduado; capacidade de 600 ml."/>
        <s v="copo tipo becker, material plástico transparente, graduação mililitros, capacidade 1.000, trasnmitância transparente."/>
        <s v="copo tipo becker, material plástico transparente, graduação mililitros, capacidade 250, trasnmitância transparente."/>
        <s v=" dessecador; material vidro borossilicato; tipo vácuo, altura 220 mm; diâmetro interno 250 mm; características adicionais com luva; tampa e fundo de porcelana perfurada"/>
        <s v="dessecador; material vidro borossilicato; tipo vácuo; altura 310 mm; diâmetro interno 250 mm; características adicionais com luva; tampa de vidro e fundo de porcelana perfurada."/>
        <s v="embalagem de vidro com tampa de metal para conservas capacidade 180g"/>
        <s v="escova para lavar vidrarias, com cerda de 40mm, pincel de 25mm, cabo de 130mm e diâmetro de 8mm, com cerdas 100% crina animal e haste de aço inoxidável"/>
        <s v="extrator laboratório, tipo soxhlet, tipo junta esmerilhada intercambiável, altura total 655, diâmetro junta superior 45, comprimento junta superior 50, diâmetro junta inferior 24, comprimento junta inferior 40, capacidade balão 250"/>
        <s v="frasco em vidro graduado boca estreita capacidade 125 ml"/>
        <s v="frasco em vidro graduado boca estreita capacidade 250 ml"/>
        <s v="gral, material porcelana, capacidade cerca de 300 ml, acessórios com pistilo de porcelana"/>
        <s v="tigela, almofariz de ágata com pistilo de 200 ml"/>
        <s v="balão volumétrico graduado de vidro borossilicato com boca esmerilhada tampa de polipropileno; 10 ml"/>
        <s v="barra magnética angular 7 x 22 mm"/>
        <s v="bastão de vidro 07 cm, diâmetro 06 mm."/>
        <s v="bureta, material vidro borossilicato; aplicação uso laboratorial; características adicionais com torneira teflon e divisão 1/100; capacidade 25 ml"/>
        <s v="cadinho em porcelana forma média de 40 ml."/>
        <s v="cubeta, material vidro ótico, formato retangular, características adicionais 2 faces polidas, tampa teflon, caminho ótico 10mm, largura 10, capacidade 3,5, aplicação espectroscopia, faixa trabalho 340 a 2600 nm."/>
        <s v="frasco de borosilicato graduado capacidade 500 ml."/>
        <s v="caixa porta lâmina de laboratório capacidade para 100 lâminas, em plástico"/>
        <s v="balão fundo redondo com junta 24/40 capacidade 250 ml"/>
        <s v="barra magnética angular 8 x 38 mm"/>
        <s v="barra magnética angular 9 x 50 mm."/>
        <s v="copo becker em vidro graduado capacidade 50 ml."/>
        <s v="copo becker, material vidro, graduação graduado, capacidade 100 ml, formato forma alta, adicional com orla e bico."/>
        <s v="balão fundo redondo com junta 14/20 capacidade 125 ml"/>
        <s v="balão volumétrico graduado de vidro borossilicato com boca esmerilhada tampa de polipropileno; 100 ml"/>
        <s v="balão volumétrico graduado de vidro borossilicato com boca esmerilhada tampa de polipropileno; 50ml"/>
        <s v="bureta; material vidro borossilicato; aplicação uso laboratorial; características adicionais com torneira teflon e divisão 1/100; capacidade 10 ml"/>
        <s v="copo becker, material vidro, graduação graduado, capacidade 50 ml, formato forma alta, adicional com orla e bico"/>
        <s v="copo tipo becker, material vidro, graduação graduado, capacidade 1000ml, formato forma baixa, adicional com orla"/>
        <s v="copo tipo becker, material vidro, graduação graduado, capacidade 400ml, formato forma baixa, adicional com orla."/>
        <s v="dessecador; material vidro borossilicato; tipo vácuo; altura 220 mm; diâmetro interno 300 mm; características adicionais com luva; tampa e fundo de porcelana perfurada"/>
        <s v="frasco de vidro; material vidro borossilicato; tipo erlenmeyer; boca larga; capacidade 1.000 ml; características adicionais graduado; com orla; parede reforçada; com tampa de porcelana; aplicação uso laboratorial"/>
        <s v="frasco de vidro, material vidro borossilicato, tipo kitazato, capacidade 125, características adicionais com graduação e saída superior, aplicação filtração a vácuo, diâmetro boca 24"/>
        <s v="condensador em vidro tipo bola de 200 mm com 2 juntas esmerilhadas."/>
        <s v="frasco de penicilina, bocal 20mm, capacidade 100 ml."/>
        <s v=" indicador de ph, tipo tira de papel, escala 0 a 14."/>
        <s v="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desmontável para que possa ser autoclavada e/ou esterilizada; calibrada originalmente do fabricante"/>
        <s v="peneira granulométrica, material aço inoxidável, diâmetro 8, altura 2, tamanho abertura malhas 100 mesh"/>
        <s v="pipeta graduada esgotamento total 10 ml"/>
        <s v="pipeta graduada esgotamento total 25 ml"/>
        <s v="pipeta graduada esgotamento total 2 ml"/>
        <s v="pipeta graduada esgotamento total 5 ml"/>
        <s v="pipeta volumétrica esgotamento total 1 ml"/>
        <s v="ponteira para pipeta automática, tipo ponteiras plásticas gilson, sem filtro, transparente, volume 1-200l; livre de dnase, rnase e pirogênio. pacote com 100 und"/>
        <s v="suporte de vidro para pipetas; suporte giratório para pipetas de vidro"/>
        <s v="suporte para tubos de ensaio, capacidade para 24 tubos"/>
        <s v="termômetro para uso geral, escala interna, - 10 +150 c sem teflon"/>
        <s v="tubo de ensaio tamanho 12 x 75 - 5 ml, pacote com 1000 unidades"/>
        <s v="pipeta volumétrica esgotamento total 2 ml"/>
        <s v="pipeta volumétrica esgotamento total 5 ml"/>
        <s v="pipeta graduada vidro, capacidade 10 ml"/>
        <s v="vidro de relógio (lapidado) de 10 cm"/>
        <s v="lâmina laboratório, material vidro, aplicação preparada, dimensões cerca de 75x 25 mm, tipo* conjunto c/ até 100 peças, adicional para botânica"/>
        <s v="peneira granulométrica, material aço inoxidável, diâmetro 8, altura 2, tamanho abertura malhas 115 mesh"/>
        <s v="vidro de relógio (lapidado) de 18 cm"/>
        <s v="caixa de fibra de papelão com tampa f grade divisória para armazenamento de microtubos (tipo eppendorf) e tubo criogênico p/ 100 tubos cap 1.5 / 2.0ml"/>
        <s v="tubos de microcentrífuga; tipo eppendorf; com capacidade de 1,5ml pacote com 1000"/>
        <s v="lâmina laboratório, material vidro, dimensões cerca de 75 x 25 mm, tipo* lapidada, tipo borda borda fosca"/>
        <s v="tubos com vácuo para coleta de sangue, tipo vacutainer k2 com anticoagulante edta(k2e). ref 367861."/>
        <s v=" peneira granulométrica, material aço inoxidável, diâmetro 8, altura 2, tamanho abertura malhas 170 mesh"/>
        <s v="peneira granulométrica, material aço inoxidável, diâmetro 8, altura 2, tamanho abertura malhas 20 mesh"/>
        <s v="peneira granulométrica, material aço inoxidável, diâmetro 8, altura 2, tamanho abertura malhas 270 mesh"/>
        <s v="peneira granulométrica, material aço inoxidável, diâmetro 8, altura 2, tamanho abertura malhas 32 mesh"/>
        <s v="peneira granulométrica, material aço inoxidável, diâmetro 8, altura 2, tamanho abertura malhas 400 mesh"/>
        <s v="peneira granulométrica, material aço inoxidável, diâmetro 8, altura 2, tamanho abertura malhas 65 mesh"/>
        <s v="peneira granulométrica, material aço inoxidável, diâmetro 8, altura 2, tamanho abertura malhas 24 mesh"/>
        <s v="pipeta manual; modelo volumétrica; capacidade 50 ml; material vidro borossilicato; aplicação uso laboratorial; características adicionais bocal e bicos temperados; gravação permanente"/>
        <s v="suporte para buretas"/>
        <s v="termômetro de 100 c a 300 c, vidro"/>
        <s v="FRASCO REAGENTE EM VIDRO CAPACIDADE 1000ML COM TAMPA"/>
        <s v="FRASCO REAGENTE EM VIDRO CAPACIDADE 125ML COM TAMPA"/>
        <s v="PROVETA EM VIDRO GRADUADA COM BASE SEXTAVADA DE POLIETILENO CAPACIDADE 100 ML"/>
        <s v="PROVETA EM VIDRO GRADUADA COM BASE SEXTAVADA DE POLIETILENO CAPACIDADE 10 ML"/>
        <s v="PROVETA EM VIDRO GRADUADA COM BASE SEXTAVADA DE POLIETILENO CAPACIDADE 25ML"/>
        <s v="TUBO DE FOLIN-WU, GRADUADO PERMANENTE CLASSE A, CAPACIDADE 25 ML, SUBDIVISÃO 12,5 ML, CALIBRADO A 20 C, DIÂMETRO EXTERNO APROXIMADO 19 MM"/>
        <s v="TUBO DE NESSLER 25 ML"/>
        <s v="PROVETA EM VIDRO GRADUADA COM BASE SEXTAVADA DE POLIETILENO CAPACIDADE 50 ML"/>
        <s v="PIPETA MANUAL; MODELO GRADUADA; CAPACIDADE 10 ML; MATERIAL VIDRO; APLICAÇÃO USO LABORATORIAL"/>
        <s v="PIPETA MANUAL; MODELO VOLUMÉTRICA; CAPACIDADE 5 ML; MATERIAL VIDRO BOROSSILICATO; APLICAÇÃO USO LABORATORIAL; CARACTERÍSTICAS ADICIONAIS BOCAS E BICOS TEMPERADOS; GRAVAÇÃO PERMANENTE"/>
        <s v="PLACA CROMATOGRÁFICA SÍLICA GEL F254 COM FLUOCEÍNA. CAIXA COM 25 UND"/>
        <s v="SISTEMA FILTRAÇÃO, COMPONENTES BASE/FUNIL/GARRA E FRASCO, MATERIAL FUNIL VIDRO BOROSSILICATO, MATERIAL GARRA ALUMÍNIO ANODIZADO, DIÂMETRO FILTRO 47, CAPACIDADE FUNIL 300, CARACTERÍSTICAS ADICIONAIS FRASCO 1 LITRO TIPO ERLENMEYER"/>
        <s v="PENEIRA GRANULOMÉTRICA, MATERIAL AÇO INOXIDÁVEL, DIÂMETRO 8, ALTURA 2, TAMANHO ABERTURA MALHAS 250 MESH"/>
        <s v="JARRO DE PORCELANA 1 LITRO PARA MOINHO DE BOLAS."/>
        <s v="PIPETA MANUAL; MODELO GRADUADA; CAPACIDADE 25 ML; MATERIAL VIDRO; APLICAÇÃO USO LABORATORIAL"/>
      </sharedItems>
    </cacheField>
    <cacheField name="Nº ENTRADA NO DMSA" numFmtId="0">
      <sharedItems containsString="0" containsBlank="1" containsNumber="1" containsInteger="1" minValue="388" maxValue="475" count="10">
        <m/>
        <n v="418"/>
        <n v="439"/>
        <n v="435"/>
        <n v="402"/>
        <n v="388"/>
        <n v="445"/>
        <n v="406"/>
        <n v="425"/>
        <n v="475"/>
      </sharedItems>
    </cacheField>
    <cacheField name="QUANT. DO RELATÓRIO" numFmtId="0">
      <sharedItems containsSemiMixedTypes="0" containsString="0" containsNumber="1" containsInteger="1" minValue="1" maxValue="400"/>
    </cacheField>
    <cacheField name="DATA ENTRADA DMSA" numFmtId="0">
      <sharedItems containsNonDate="0" containsDate="1" containsString="0" containsBlank="1" minDate="2017-06-05T00:00:00" maxDate="2017-06-13T00:00:00"/>
    </cacheField>
    <cacheField name="VALOR UNITÁRIO" numFmtId="0">
      <sharedItems containsSemiMixedTypes="0" containsString="0" containsNumber="1" minValue="7.0000000000000007E-2" maxValue="1800"/>
    </cacheField>
    <cacheField name="DATA DO EMPENHO" numFmtId="0">
      <sharedItems containsDate="1" containsBlank="1" containsMixedTypes="1" minDate="2014-04-05T00:00:00" maxDate="2017-04-11T00:00:00" count="10">
        <d v="2017-04-05T00:00:00"/>
        <d v="2014-04-05T00:00:00"/>
        <s v="0504/2017"/>
        <m/>
        <d v="2017-01-24T00:00:00"/>
        <d v="2017-01-04T00:00:00"/>
        <d v="2017-01-25T00:00:00"/>
        <d v="2017-04-10T00:00:00"/>
        <s v="V"/>
        <d v="2016-07-26T00:00:00"/>
      </sharedItems>
    </cacheField>
    <cacheField name="Nº  NOTA DE EMPENHO" numFmtId="0">
      <sharedItems containsBlank="1" count="54">
        <s v="2017NE800270"/>
        <s v="2017NE800272"/>
        <s v="2017NE800273"/>
        <s v="2017NE800271"/>
        <s v="2017NE800275"/>
        <s v="2017NE800274"/>
        <s v="2017NE800266"/>
        <s v="2017NE800267"/>
        <s v="2017NE800269"/>
        <m/>
        <s v="2017NE800268"/>
        <s v="2017NE800040"/>
        <s v="2017NE800039"/>
        <s v="2017NE800041"/>
        <s v="2017NE800037"/>
        <s v="2017NE800044"/>
        <s v="2017NE800036"/>
        <s v="2017NE800038"/>
        <s v="2017NE800035"/>
        <s v="2017NE800342"/>
        <s v="2017NE800341"/>
        <s v="2017NE800343"/>
        <s v="2017NE800344"/>
        <s v="2017NE800340"/>
        <s v="2017NE800339"/>
        <s v="2017NE800345"/>
        <s v="2017NE800359"/>
        <s v="2017NE800357"/>
        <s v="2017NE800358"/>
        <s v="2017NE800356"/>
        <s v="2017NE800354"/>
        <s v="2017NE800347"/>
        <s v="2017NE800349"/>
        <s v="2017NE800351"/>
        <s v="2017NE800816"/>
        <s v="2017NE800808"/>
        <s v="2017NE800810"/>
        <s v="2017NE800811"/>
        <s v="2017NE800812"/>
        <s v="2017NE800809"/>
        <s v="2017NE800805"/>
        <s v="2017NE800813"/>
        <s v="2017NE800806"/>
        <s v="2017NE800819"/>
        <s v="2017NE800820"/>
        <s v="2017NE800817"/>
        <s v="2017NE800818"/>
        <s v="2017NE800825"/>
        <s v="2017NE800822"/>
        <s v="2017NE800821"/>
        <s v="2017NE800827"/>
        <s v="2017NE800826"/>
        <s v="2017NE800823"/>
        <s v="2017NE800824"/>
      </sharedItems>
    </cacheField>
    <cacheField name="QUANT EMPENHADA" numFmtId="0">
      <sharedItems containsString="0" containsBlank="1" containsNumber="1" containsInteger="1" minValue="1" maxValue="400"/>
    </cacheField>
    <cacheField name="VALOR EMPENHADO" numFmtId="44">
      <sharedItems containsString="0" containsBlank="1" containsNumber="1" minValue="0" maxValue="18000"/>
    </cacheField>
    <cacheField name="DATA ENTREGA NO ALMOXARIFADO" numFmtId="0">
      <sharedItems containsDate="1" containsBlank="1" containsMixedTypes="1" minDate="2017-04-13T00:00:00" maxDate="2017-11-17T00:00:00" count="29">
        <d v="2017-05-04T00:00:00"/>
        <d v="2017-06-08T00:00:00"/>
        <d v="2017-05-17T00:00:00"/>
        <d v="2017-06-27T00:00:00"/>
        <d v="2017-05-19T00:00:00"/>
        <d v="2017-07-04T00:00:00"/>
        <m/>
        <d v="2017-04-19T00:00:00"/>
        <d v="2017-04-13T00:00:00"/>
        <d v="2017-05-03T00:00:00"/>
        <d v="2017-06-09T00:00:00"/>
        <d v="2017-05-23T00:00:00"/>
        <d v="2017-06-12T00:00:00"/>
        <d v="2017-06-06T00:00:00"/>
        <d v="2017-06-28T00:00:00"/>
        <s v="Vencido 17/06/2017"/>
        <d v="2017-06-19T00:00:00"/>
        <d v="2017-10-23T00:00:00"/>
        <d v="2017-07-24T00:00:00"/>
        <d v="2017-07-17T00:00:00"/>
        <s v="Vencido 05/08/2017"/>
        <d v="2017-07-26T00:00:00"/>
        <d v="2017-11-16T00:00:00"/>
        <d v="2017-08-23T00:00:00"/>
        <d v="2017-08-07T00:00:00"/>
        <d v="2017-08-29T00:00:00"/>
        <d v="2017-07-18T00:00:00"/>
        <d v="2017-07-10T00:00:00"/>
        <s v="Vencimento 05/08/2017"/>
      </sharedItems>
    </cacheField>
    <cacheField name="Nº DA NOTA FISCAL/ RECIBO" numFmtId="0">
      <sharedItems containsBlank="1" containsMixedTypes="1" containsNumber="1" containsInteger="1" minValue="1096" maxValue="8214"/>
    </cacheField>
    <cacheField name="ELEMENTO" numFmtId="0">
      <sharedItems containsBlank="1" containsMixedTypes="1" containsNumber="1" containsInteger="1" minValue="3390" maxValue="339030"/>
    </cacheField>
    <cacheField name="SUBELEMENTO" numFmtId="0">
      <sharedItems containsString="0" containsBlank="1" containsNumber="1" containsInteger="1" minValue="35" maxValue="35"/>
    </cacheField>
    <cacheField name="STATUS" numFmtId="0">
      <sharedItems containsBlank="1" count="11">
        <s v="CONCLUÍDO"/>
        <s v="Não foi possivel realizar o empenho, pois não havia saldo suficiente."/>
        <s v="Não foi empenhado a totalidade, pois não havia saldo suficiente na ata de registro de preços. CONCLUÍDO"/>
        <s v="Não foi atendido a totalidade, pois não havia saldo suficiente na ata de registro de preços. CONCLUÍDO"/>
        <s v="Entrega da NE irá atrasar, resolvendo divergencia no valor do item 141 - 0,07 cent - valor do pacote do Tubo de ensaio?.... Resolvendo."/>
        <s v="Ofício de advertência nº 568/ 17 enviado em 26/02/2018"/>
        <s v="Não foi empenhado a totalidade, pois não havia saldo suficiente. CONCLUÍDO"/>
        <s v="Ofício de advertência nº 569/ 17 enviado em 26/02/2018"/>
        <m/>
        <s v="Ofício de cobrança nº 436/ 17 enviado em 20/06/2017" u="1"/>
        <s v="Ofício de cobrança nº 443/ 17 enviado em 08/08/201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">
  <r>
    <s v="230836.008818/2015-9"/>
    <s v="14/2016"/>
    <s v="06/04/2016 A 05/04/2017"/>
    <x v="0"/>
    <s v="CTUR"/>
    <n v="37"/>
    <x v="0"/>
    <x v="0"/>
    <n v="2"/>
    <m/>
    <n v="6.88"/>
    <x v="0"/>
    <x v="0"/>
    <n v="2"/>
    <n v="13.76"/>
    <x v="0"/>
    <s v="Papeleta 250/2017"/>
    <n v="339030"/>
    <n v="35"/>
    <x v="0"/>
  </r>
  <r>
    <s v="230836.008818/2015-9"/>
    <s v="14/2016"/>
    <s v="06/04/2016 A 05/04/2017"/>
    <x v="0"/>
    <s v="CTUR"/>
    <n v="38"/>
    <x v="1"/>
    <x v="0"/>
    <n v="2"/>
    <m/>
    <n v="14.88"/>
    <x v="0"/>
    <x v="0"/>
    <n v="2"/>
    <n v="29.76"/>
    <x v="0"/>
    <s v="Papeleta 250/2017"/>
    <n v="339030"/>
    <n v="35"/>
    <x v="0"/>
  </r>
  <r>
    <s v="230836.008818/2015-9"/>
    <s v="14/2016"/>
    <s v="06/04/2016 A 05/04/2017"/>
    <x v="0"/>
    <s v="CTUR"/>
    <n v="43"/>
    <x v="2"/>
    <x v="0"/>
    <n v="1"/>
    <m/>
    <n v="178"/>
    <x v="0"/>
    <x v="1"/>
    <n v="1"/>
    <n v="178"/>
    <x v="1"/>
    <s v="Papeleta 306/2017"/>
    <n v="339030"/>
    <n v="35"/>
    <x v="0"/>
  </r>
  <r>
    <s v="230836.008818/2015-9"/>
    <s v="14/2016"/>
    <s v="06/04/2016 A 05/04/2017"/>
    <x v="0"/>
    <s v="CTUR"/>
    <n v="47"/>
    <x v="3"/>
    <x v="0"/>
    <n v="5"/>
    <m/>
    <n v="1.98"/>
    <x v="0"/>
    <x v="2"/>
    <n v="5"/>
    <n v="9.9"/>
    <x v="2"/>
    <s v="Papeleta 258/2017"/>
    <n v="339030"/>
    <n v="35"/>
    <x v="0"/>
  </r>
  <r>
    <s v="230836.008818/2015-9"/>
    <s v="14/2016"/>
    <s v="06/04/2016 A 05/04/2017"/>
    <x v="0"/>
    <s v="CTUR"/>
    <n v="58"/>
    <x v="4"/>
    <x v="0"/>
    <n v="2"/>
    <m/>
    <n v="24"/>
    <x v="0"/>
    <x v="0"/>
    <n v="2"/>
    <n v="48"/>
    <x v="0"/>
    <s v="Papeleta 250/2017"/>
    <n v="339030"/>
    <n v="35"/>
    <x v="0"/>
  </r>
  <r>
    <s v="230836.008818/2015-9"/>
    <s v="14/2016"/>
    <s v="06/04/2016 A 05/04/2017"/>
    <x v="0"/>
    <s v="CTUR"/>
    <n v="81"/>
    <x v="5"/>
    <x v="0"/>
    <n v="5"/>
    <m/>
    <n v="9.85"/>
    <x v="0"/>
    <x v="0"/>
    <n v="5"/>
    <n v="49.25"/>
    <x v="0"/>
    <s v="Papeleta 250/2017"/>
    <n v="339030"/>
    <n v="35"/>
    <x v="0"/>
  </r>
  <r>
    <s v="230836.008818/2015-9"/>
    <s v="14/2016"/>
    <s v="06/04/2016 A 05/04/2017"/>
    <x v="0"/>
    <s v="CTUR"/>
    <n v="54"/>
    <x v="6"/>
    <x v="0"/>
    <n v="5"/>
    <m/>
    <n v="3.99"/>
    <x v="0"/>
    <x v="0"/>
    <n v="5"/>
    <n v="19.950000000000003"/>
    <x v="0"/>
    <s v="Papeleta 250/2017"/>
    <n v="339030"/>
    <n v="35"/>
    <x v="0"/>
  </r>
  <r>
    <s v="230836.008818/2015-9"/>
    <s v="14/2016"/>
    <s v="06/04/2016 A 05/04/2017"/>
    <x v="0"/>
    <s v="CTUR"/>
    <n v="56"/>
    <x v="7"/>
    <x v="0"/>
    <n v="5"/>
    <m/>
    <n v="7.2"/>
    <x v="0"/>
    <x v="0"/>
    <n v="5"/>
    <n v="36"/>
    <x v="0"/>
    <s v="Papeleta 250/2017"/>
    <n v="339030"/>
    <n v="35"/>
    <x v="0"/>
  </r>
  <r>
    <s v="230836.008818/2015-9"/>
    <s v="14/2016"/>
    <s v="06/04/2016 A 05/04/2017"/>
    <x v="0"/>
    <s v="CTUR"/>
    <n v="98"/>
    <x v="8"/>
    <x v="0"/>
    <n v="5"/>
    <m/>
    <n v="4.87"/>
    <x v="0"/>
    <x v="0"/>
    <n v="5"/>
    <n v="24.35"/>
    <x v="0"/>
    <s v="Papeleta 250/2017"/>
    <n v="339030"/>
    <n v="35"/>
    <x v="0"/>
  </r>
  <r>
    <s v="230836.008818/2015-9"/>
    <s v="14/2016"/>
    <s v="06/04/2016 A 05/04/2017"/>
    <x v="0"/>
    <s v="CTUR"/>
    <n v="104"/>
    <x v="9"/>
    <x v="0"/>
    <n v="10"/>
    <m/>
    <n v="2.15"/>
    <x v="0"/>
    <x v="0"/>
    <n v="10"/>
    <n v="21.5"/>
    <x v="0"/>
    <s v="Papeleta 250/2017"/>
    <n v="339030"/>
    <n v="35"/>
    <x v="0"/>
  </r>
  <r>
    <s v="230836.008818/2015-9"/>
    <s v="14/2016"/>
    <s v="06/04/2016 A 05/04/2017"/>
    <x v="0"/>
    <s v="CTUR"/>
    <n v="100"/>
    <x v="10"/>
    <x v="0"/>
    <n v="10"/>
    <m/>
    <n v="3.52"/>
    <x v="0"/>
    <x v="2"/>
    <n v="10"/>
    <n v="35.200000000000003"/>
    <x v="2"/>
    <s v="Papeleta 258/2017"/>
    <n v="339030"/>
    <n v="35"/>
    <x v="0"/>
  </r>
  <r>
    <s v="230836.008818/2015-9"/>
    <s v="14/2016"/>
    <s v="06/04/2016 A 05/04/2017"/>
    <x v="0"/>
    <s v="CTUR"/>
    <n v="92"/>
    <x v="11"/>
    <x v="0"/>
    <n v="5"/>
    <m/>
    <n v="5.7"/>
    <x v="0"/>
    <x v="1"/>
    <n v="5"/>
    <n v="28.5"/>
    <x v="1"/>
    <s v="Papeleta 306/2017"/>
    <n v="339030"/>
    <n v="35"/>
    <x v="0"/>
  </r>
  <r>
    <s v="230836.008818/2015-9"/>
    <s v="14/2016"/>
    <s v="06/04/2016 A 05/04/2017"/>
    <x v="0"/>
    <s v="CTUR"/>
    <n v="118"/>
    <x v="12"/>
    <x v="0"/>
    <n v="2"/>
    <m/>
    <n v="102"/>
    <x v="0"/>
    <x v="0"/>
    <n v="2"/>
    <n v="204"/>
    <x v="0"/>
    <s v="Papeleta 250/2017"/>
    <n v="339030"/>
    <n v="35"/>
    <x v="0"/>
  </r>
  <r>
    <s v="230836.008818/2015-9"/>
    <s v="14/2016"/>
    <s v="06/04/2016 A 05/04/2017"/>
    <x v="0"/>
    <s v="CTUR"/>
    <n v="117"/>
    <x v="13"/>
    <x v="0"/>
    <n v="6"/>
    <m/>
    <n v="2.3199999999999998"/>
    <x v="0"/>
    <x v="0"/>
    <n v="6"/>
    <n v="13.919999999999998"/>
    <x v="0"/>
    <s v="Papeleta 250/2017"/>
    <n v="339030"/>
    <n v="35"/>
    <x v="0"/>
  </r>
  <r>
    <s v="230836.008818/2015-9"/>
    <s v="14/2016"/>
    <s v="06/04/2016 A 05/04/2017"/>
    <x v="0"/>
    <s v="CTUR"/>
    <n v="119"/>
    <x v="14"/>
    <x v="0"/>
    <n v="1"/>
    <m/>
    <n v="204.99"/>
    <x v="0"/>
    <x v="3"/>
    <n v="1"/>
    <n v="204.99"/>
    <x v="3"/>
    <s v="Papeleta 348/2017"/>
    <n v="339030"/>
    <n v="35"/>
    <x v="0"/>
  </r>
  <r>
    <s v="230836.008818/2015-9"/>
    <s v="14/2016"/>
    <s v="06/04/2016 A 05/04/2017"/>
    <x v="0"/>
    <s v="CTUR"/>
    <n v="120"/>
    <x v="15"/>
    <x v="0"/>
    <n v="5"/>
    <m/>
    <n v="2.2000000000000002"/>
    <x v="0"/>
    <x v="0"/>
    <n v="5"/>
    <n v="11"/>
    <x v="0"/>
    <s v="Papeleta 250/2017"/>
    <n v="339030"/>
    <n v="35"/>
    <x v="0"/>
  </r>
  <r>
    <s v="230836.008818/2015-9"/>
    <s v="14/2016"/>
    <s v="06/04/2016 A 05/04/2017"/>
    <x v="0"/>
    <s v="CTUR"/>
    <n v="124"/>
    <x v="16"/>
    <x v="0"/>
    <n v="5"/>
    <m/>
    <n v="5.99"/>
    <x v="1"/>
    <x v="0"/>
    <n v="5"/>
    <n v="29.950000000000003"/>
    <x v="0"/>
    <s v="Papeleta 250/2017"/>
    <n v="339030"/>
    <n v="35"/>
    <x v="0"/>
  </r>
  <r>
    <s v="230836.008818/2015-9"/>
    <s v="14/2016"/>
    <s v="06/04/2016 A 05/04/2017"/>
    <x v="0"/>
    <s v="CTUR"/>
    <n v="1"/>
    <x v="17"/>
    <x v="0"/>
    <n v="1"/>
    <m/>
    <n v="1020"/>
    <x v="0"/>
    <x v="0"/>
    <n v="1"/>
    <n v="1020"/>
    <x v="0"/>
    <s v="Papeleta 250/2017"/>
    <n v="339030"/>
    <n v="35"/>
    <x v="0"/>
  </r>
  <r>
    <s v="230836.008818/2015-9"/>
    <s v="14/2016"/>
    <s v="06/04/2016 A 05/04/2017"/>
    <x v="1"/>
    <s v="LABORATÓRIO OFICIAL DE DIAGNÓSTICO FITOSSANITÁRIO"/>
    <n v="112"/>
    <x v="18"/>
    <x v="0"/>
    <n v="2"/>
    <m/>
    <n v="335"/>
    <x v="0"/>
    <x v="4"/>
    <n v="2"/>
    <n v="670"/>
    <x v="0"/>
    <s v="Papeleta 250/2017"/>
    <n v="339030"/>
    <n v="35"/>
    <x v="0"/>
  </r>
  <r>
    <s v="230836.008818/2015-9"/>
    <s v="14/2016"/>
    <s v="06/04/2016 A 05/04/2017"/>
    <x v="2"/>
    <s v="CAMPUS DR. LEONEL MIRANDA"/>
    <n v="14"/>
    <x v="19"/>
    <x v="0"/>
    <n v="4"/>
    <m/>
    <n v="10.98"/>
    <x v="0"/>
    <x v="5"/>
    <n v="4"/>
    <n v="43.92"/>
    <x v="0"/>
    <n v="8214"/>
    <s v="Papeleta 250/2017"/>
    <n v="35"/>
    <x v="0"/>
  </r>
  <r>
    <s v="230836.008818/2015-9"/>
    <s v="14/2016"/>
    <s v="06/04/2016 A 05/04/2017"/>
    <x v="2"/>
    <s v="CAMPUS DR. LEONEL MIRANDA"/>
    <n v="13"/>
    <x v="20"/>
    <x v="0"/>
    <n v="2"/>
    <m/>
    <n v="12.65"/>
    <x v="0"/>
    <x v="5"/>
    <n v="2"/>
    <n v="25.3"/>
    <x v="0"/>
    <n v="8214"/>
    <s v="Papeleta 250/2017"/>
    <n v="35"/>
    <x v="0"/>
  </r>
  <r>
    <s v="230836.008818/2015-9"/>
    <s v="14/2016"/>
    <s v="06/04/2016 A 05/04/2017"/>
    <x v="2"/>
    <s v="CAMPUS DR. LEONEL MIRANDA"/>
    <n v="21"/>
    <x v="21"/>
    <x v="0"/>
    <n v="2"/>
    <m/>
    <n v="13"/>
    <x v="1"/>
    <x v="5"/>
    <n v="2"/>
    <n v="26"/>
    <x v="0"/>
    <n v="8214"/>
    <s v="Papeleta 250/2017"/>
    <n v="35"/>
    <x v="0"/>
  </r>
  <r>
    <s v="230836.008818/2015-9"/>
    <s v="14/2016"/>
    <s v="06/04/2016 A 05/04/2017"/>
    <x v="2"/>
    <s v="CAMPUS DR. LEONEL MIRANDA"/>
    <n v="28"/>
    <x v="22"/>
    <x v="0"/>
    <n v="2"/>
    <m/>
    <n v="19.04"/>
    <x v="0"/>
    <x v="6"/>
    <n v="2"/>
    <n v="38.08"/>
    <x v="4"/>
    <s v="Papeleta 282/2017"/>
    <n v="339030"/>
    <n v="35"/>
    <x v="0"/>
  </r>
  <r>
    <s v="230836.008818/2015-9"/>
    <s v="14/2016"/>
    <s v="06/04/2016 A 05/04/2017"/>
    <x v="2"/>
    <s v="CAMPUS DR. LEONEL MIRANDA"/>
    <n v="30"/>
    <x v="23"/>
    <x v="0"/>
    <n v="2"/>
    <m/>
    <n v="13.98"/>
    <x v="0"/>
    <x v="5"/>
    <n v="2"/>
    <n v="27.96"/>
    <x v="0"/>
    <n v="8214"/>
    <s v="Papeleta 250/2017"/>
    <n v="35"/>
    <x v="0"/>
  </r>
  <r>
    <s v="230836.008818/2015-9"/>
    <s v="14/2016"/>
    <s v="06/04/2016 A 05/04/2017"/>
    <x v="2"/>
    <s v="CAMPUS DR. LEONEL MIRANDA"/>
    <n v="38"/>
    <x v="1"/>
    <x v="0"/>
    <n v="2"/>
    <m/>
    <n v="14.88"/>
    <x v="1"/>
    <x v="5"/>
    <n v="2"/>
    <n v="29.76"/>
    <x v="0"/>
    <n v="8214"/>
    <s v="Papeleta 250/2017"/>
    <n v="35"/>
    <x v="0"/>
  </r>
  <r>
    <s v="230836.008818/2015-9"/>
    <s v="14/2016"/>
    <s v="06/04/2016 A 05/04/2017"/>
    <x v="2"/>
    <s v="CAMPUS DR. LEONEL MIRANDA"/>
    <n v="58"/>
    <x v="4"/>
    <x v="0"/>
    <n v="2"/>
    <m/>
    <n v="24"/>
    <x v="0"/>
    <x v="4"/>
    <n v="2"/>
    <n v="48"/>
    <x v="0"/>
    <s v="Papeleta 250/2017"/>
    <n v="339030"/>
    <n v="35"/>
    <x v="0"/>
  </r>
  <r>
    <s v="230836.008818/2015-9"/>
    <s v="14/2016"/>
    <s v="06/04/2016 A 05/04/2017"/>
    <x v="2"/>
    <s v="CAMPUS DR. LEONEL MIRANDA"/>
    <n v="81"/>
    <x v="5"/>
    <x v="0"/>
    <n v="4"/>
    <m/>
    <n v="9.85"/>
    <x v="0"/>
    <x v="4"/>
    <n v="4"/>
    <n v="39.4"/>
    <x v="0"/>
    <s v="Papeleta 250/2017"/>
    <n v="339030"/>
    <n v="35"/>
    <x v="0"/>
  </r>
  <r>
    <s v="230836.008818/2015-9"/>
    <s v="14/2016"/>
    <s v="06/04/2016 A 05/04/2017"/>
    <x v="2"/>
    <s v="CAMPUS DR. LEONEL MIRANDA"/>
    <n v="89"/>
    <x v="24"/>
    <x v="0"/>
    <n v="11"/>
    <m/>
    <n v="9.9"/>
    <x v="0"/>
    <x v="4"/>
    <n v="11"/>
    <n v="108.9"/>
    <x v="0"/>
    <s v="Papeleta 250/2017"/>
    <n v="339030"/>
    <n v="35"/>
    <x v="0"/>
  </r>
  <r>
    <s v="230836.008818/2015-9"/>
    <s v="14/2016"/>
    <s v="06/04/2016 A 05/04/2017"/>
    <x v="2"/>
    <s v="CAMPUS DR. LEONEL MIRANDA"/>
    <n v="109"/>
    <x v="25"/>
    <x v="0"/>
    <n v="5"/>
    <m/>
    <n v="39"/>
    <x v="0"/>
    <x v="4"/>
    <n v="5"/>
    <n v="195"/>
    <x v="0"/>
    <s v="Papeleta 250/2017"/>
    <n v="339030"/>
    <n v="35"/>
    <x v="0"/>
  </r>
  <r>
    <s v="230836.008818/2015-9"/>
    <s v="14/2016"/>
    <s v="06/04/2016 A 05/04/2017"/>
    <x v="2"/>
    <s v="CAMPUS DR. LEONEL MIRANDA"/>
    <n v="54"/>
    <x v="6"/>
    <x v="0"/>
    <n v="4"/>
    <m/>
    <n v="3.99"/>
    <x v="0"/>
    <x v="5"/>
    <n v="4"/>
    <n v="15.96"/>
    <x v="0"/>
    <n v="8214"/>
    <s v="Papeleta 250/2017"/>
    <n v="35"/>
    <x v="0"/>
  </r>
  <r>
    <s v="230836.008818/2015-9"/>
    <s v="14/2016"/>
    <s v="06/04/2016 A 05/04/2017"/>
    <x v="2"/>
    <s v="CAMPUS DR. LEONEL MIRANDA"/>
    <n v="97"/>
    <x v="26"/>
    <x v="0"/>
    <n v="4"/>
    <m/>
    <n v="4.66"/>
    <x v="0"/>
    <x v="4"/>
    <n v="4"/>
    <n v="18.64"/>
    <x v="0"/>
    <s v="Papeleta 250/2017"/>
    <n v="339030"/>
    <n v="35"/>
    <x v="0"/>
  </r>
  <r>
    <s v="230836.008818/2015-9"/>
    <s v="14/2016"/>
    <s v="06/04/2016 A 05/04/2017"/>
    <x v="2"/>
    <s v="CAMPUS DR. LEONEL MIRANDA"/>
    <n v="98"/>
    <x v="8"/>
    <x v="0"/>
    <n v="4"/>
    <m/>
    <n v="4.87"/>
    <x v="0"/>
    <x v="4"/>
    <n v="4"/>
    <n v="19.48"/>
    <x v="0"/>
    <s v="Papeleta 250/2017"/>
    <n v="339030"/>
    <n v="35"/>
    <x v="0"/>
  </r>
  <r>
    <s v="230836.008818/2015-9"/>
    <s v="14/2016"/>
    <s v="06/04/2016 A 05/04/2017"/>
    <x v="2"/>
    <s v="CAMPUS DR. LEONEL MIRANDA"/>
    <n v="101"/>
    <x v="27"/>
    <x v="0"/>
    <n v="4"/>
    <m/>
    <n v="7"/>
    <x v="0"/>
    <x v="4"/>
    <n v="4"/>
    <n v="28"/>
    <x v="0"/>
    <s v="Papeleta 250/2017"/>
    <n v="339030"/>
    <n v="35"/>
    <x v="0"/>
  </r>
  <r>
    <s v="230836.008818/2015-9"/>
    <s v="14/2016"/>
    <s v="06/04/2016 A 05/04/2017"/>
    <x v="2"/>
    <s v="CAMPUS DR. LEONEL MIRANDA"/>
    <n v="102"/>
    <x v="28"/>
    <x v="0"/>
    <n v="4"/>
    <m/>
    <n v="10"/>
    <x v="0"/>
    <x v="4"/>
    <n v="4"/>
    <n v="40"/>
    <x v="0"/>
    <s v="Papeleta 250/2017"/>
    <n v="339030"/>
    <n v="35"/>
    <x v="0"/>
  </r>
  <r>
    <s v="230836.008818/2015-9"/>
    <s v="14/2016"/>
    <s v="06/04/2016 A 05/04/2017"/>
    <x v="2"/>
    <s v="CAMPUS DR. LEONEL MIRANDA"/>
    <n v="99"/>
    <x v="29"/>
    <x v="0"/>
    <n v="4"/>
    <m/>
    <n v="8.1"/>
    <x v="0"/>
    <x v="4"/>
    <n v="4"/>
    <n v="32.4"/>
    <x v="0"/>
    <s v="Papeleta 250/2017"/>
    <n v="339030"/>
    <n v="35"/>
    <x v="0"/>
  </r>
  <r>
    <s v="230836.008818/2015-9"/>
    <s v="14/2016"/>
    <s v="06/04/2016 A 05/04/2017"/>
    <x v="2"/>
    <s v="CAMPUS DR. LEONEL MIRANDA"/>
    <n v="94"/>
    <x v="30"/>
    <x v="0"/>
    <n v="2"/>
    <m/>
    <n v="8"/>
    <x v="0"/>
    <x v="4"/>
    <n v="2"/>
    <n v="16"/>
    <x v="0"/>
    <s v="Papeleta 250/2017"/>
    <n v="339030"/>
    <n v="35"/>
    <x v="0"/>
  </r>
  <r>
    <s v="230836.008818/2015-9"/>
    <s v="14/2016"/>
    <s v="06/04/2016 A 05/04/2017"/>
    <x v="2"/>
    <s v="CAMPUS DR. LEONEL MIRANDA"/>
    <n v="96"/>
    <x v="31"/>
    <x v="0"/>
    <n v="4"/>
    <m/>
    <n v="4.3499999999999996"/>
    <x v="0"/>
    <x v="4"/>
    <n v="4"/>
    <n v="17.399999999999999"/>
    <x v="0"/>
    <s v="Papeleta 250/2017"/>
    <n v="339030"/>
    <n v="35"/>
    <x v="0"/>
  </r>
  <r>
    <s v="230836.008818/2015-9"/>
    <s v="14/2016"/>
    <s v="06/04/2016 A 05/04/2017"/>
    <x v="2"/>
    <s v="CAMPUS DR. LEONEL MIRANDA"/>
    <n v="117"/>
    <x v="13"/>
    <x v="0"/>
    <n v="6"/>
    <m/>
    <n v="2.3199999999999998"/>
    <x v="0"/>
    <x v="4"/>
    <n v="6"/>
    <n v="13.919999999999998"/>
    <x v="0"/>
    <s v="Papeleta 250/2017"/>
    <n v="339030"/>
    <n v="35"/>
    <x v="0"/>
  </r>
  <r>
    <s v="230836.008818/2015-9"/>
    <s v="14/2016"/>
    <s v="06/04/2016 A 05/04/2017"/>
    <x v="2"/>
    <s v="CAMPUS DR. LEONEL MIRANDA"/>
    <n v="119"/>
    <x v="14"/>
    <x v="0"/>
    <n v="1"/>
    <m/>
    <n v="204.99"/>
    <x v="2"/>
    <x v="7"/>
    <n v="1"/>
    <n v="204.99"/>
    <x v="5"/>
    <s v="Papeleta 379/2017"/>
    <n v="339030"/>
    <n v="35"/>
    <x v="0"/>
  </r>
  <r>
    <s v="230836.008818/2015-9"/>
    <s v="14/2016"/>
    <s v="06/04/2016 A 05/04/2017"/>
    <x v="2"/>
    <s v="CAMPUS DR. LEONEL MIRANDA"/>
    <n v="120"/>
    <x v="15"/>
    <x v="0"/>
    <n v="10"/>
    <m/>
    <n v="2.2000000000000002"/>
    <x v="0"/>
    <x v="4"/>
    <n v="10"/>
    <n v="22"/>
    <x v="0"/>
    <s v="Papeleta 250/2017"/>
    <n v="339030"/>
    <n v="35"/>
    <x v="0"/>
  </r>
  <r>
    <s v="230836.008818/2015-9"/>
    <s v="14/2016"/>
    <s v="06/04/2016 A 05/04/2017"/>
    <x v="2"/>
    <s v="CAMPUS DR. LEONEL MIRANDA"/>
    <n v="121"/>
    <x v="32"/>
    <x v="0"/>
    <n v="5"/>
    <m/>
    <n v="3.12"/>
    <x v="0"/>
    <x v="8"/>
    <n v="5"/>
    <n v="15.600000000000001"/>
    <x v="2"/>
    <s v="258/2017"/>
    <n v="339030"/>
    <n v="35"/>
    <x v="0"/>
  </r>
  <r>
    <s v="230836.008818/2015-9"/>
    <s v="14/2016"/>
    <s v="06/04/2016 A 05/04/2017"/>
    <x v="2"/>
    <s v="CAMPUS DR. LEONEL MIRANDA"/>
    <n v="122"/>
    <x v="33"/>
    <x v="0"/>
    <n v="5"/>
    <m/>
    <n v="2.78"/>
    <x v="0"/>
    <x v="4"/>
    <n v="5"/>
    <n v="13.899999999999999"/>
    <x v="0"/>
    <s v="Papeleta 250/2017"/>
    <n v="339030"/>
    <n v="35"/>
    <x v="0"/>
  </r>
  <r>
    <s v="230836.008818/2015-9"/>
    <s v="14/2016"/>
    <s v="06/04/2016 A 05/04/2017"/>
    <x v="2"/>
    <s v="CAMPUS DR. LEONEL MIRANDA"/>
    <n v="123"/>
    <x v="34"/>
    <x v="0"/>
    <n v="14"/>
    <m/>
    <n v="3.68"/>
    <x v="0"/>
    <x v="4"/>
    <n v="14"/>
    <n v="51.52"/>
    <x v="0"/>
    <s v="Papeleta 250/2017"/>
    <n v="339030"/>
    <n v="35"/>
    <x v="0"/>
  </r>
  <r>
    <s v="230836.008818/2015-9"/>
    <s v="14/2016"/>
    <s v="06/04/2016 A 05/04/2017"/>
    <x v="2"/>
    <s v="CAMPUS DR. LEONEL MIRANDA"/>
    <n v="124"/>
    <x v="16"/>
    <x v="0"/>
    <n v="21"/>
    <m/>
    <n v="5.99"/>
    <x v="1"/>
    <x v="4"/>
    <n v="21"/>
    <n v="125.79"/>
    <x v="0"/>
    <s v="Papeleta 250/2017"/>
    <n v="339030"/>
    <n v="35"/>
    <x v="0"/>
  </r>
  <r>
    <s v="230836.008818/2015-9"/>
    <s v="14/2016"/>
    <s v="06/04/2016 A 05/04/2017"/>
    <x v="2"/>
    <s v="CAMPUS DR. LEONEL MIRANDA"/>
    <n v="125"/>
    <x v="35"/>
    <x v="0"/>
    <n v="7"/>
    <m/>
    <n v="5.2"/>
    <x v="0"/>
    <x v="4"/>
    <n v="7"/>
    <n v="36.4"/>
    <x v="0"/>
    <s v="Papeleta 250/2017"/>
    <n v="339030"/>
    <n v="35"/>
    <x v="0"/>
  </r>
  <r>
    <s v="230836.008818/2015-9"/>
    <s v="14/2016"/>
    <s v="06/04/2016 A 05/04/2017"/>
    <x v="2"/>
    <s v="CAMPUS DR. LEONEL MIRANDA"/>
    <n v="136"/>
    <x v="36"/>
    <x v="0"/>
    <n v="2"/>
    <m/>
    <n v="4.05"/>
    <x v="0"/>
    <x v="4"/>
    <n v="2"/>
    <n v="8.1"/>
    <x v="0"/>
    <s v="Papeleta 250/2017"/>
    <n v="339030"/>
    <n v="35"/>
    <x v="0"/>
  </r>
  <r>
    <s v="230836.008818/2015-9"/>
    <s v="14/2016"/>
    <s v="06/04/2016 A 05/04/2017"/>
    <x v="2"/>
    <s v="CAMPUS DR. LEONEL MIRANDA"/>
    <n v="137"/>
    <x v="37"/>
    <x v="0"/>
    <n v="4"/>
    <m/>
    <n v="6.3"/>
    <x v="0"/>
    <x v="4"/>
    <n v="4"/>
    <n v="25.2"/>
    <x v="0"/>
    <s v="Papeleta 250/2017"/>
    <n v="339030"/>
    <n v="35"/>
    <x v="0"/>
  </r>
  <r>
    <s v="230836.008818/2015-9"/>
    <s v="14/2016"/>
    <s v="06/04/2016 A 05/04/2017"/>
    <x v="2"/>
    <s v="CAMPUS DR. LEONEL MIRANDA"/>
    <n v="140"/>
    <x v="38"/>
    <x v="0"/>
    <n v="2"/>
    <m/>
    <n v="4.51"/>
    <x v="0"/>
    <x v="7"/>
    <n v="2"/>
    <n v="9.02"/>
    <x v="5"/>
    <s v="Papeleta 379/2017"/>
    <n v="339030"/>
    <n v="35"/>
    <x v="0"/>
  </r>
  <r>
    <s v="230836.008818/2015-9"/>
    <s v="14/2016"/>
    <s v="06/04/2016 A 05/04/2017"/>
    <x v="2"/>
    <s v="CAMPUS DR. LEONEL MIRANDA"/>
    <n v="145"/>
    <x v="39"/>
    <x v="0"/>
    <n v="2"/>
    <m/>
    <n v="4.51"/>
    <x v="0"/>
    <x v="4"/>
    <n v="2"/>
    <n v="9.02"/>
    <x v="0"/>
    <s v="Papeleta 250/2017"/>
    <n v="339030"/>
    <n v="35"/>
    <x v="0"/>
  </r>
  <r>
    <s v="230836.008818/2015-9"/>
    <s v="14/2016"/>
    <s v="06/04/2016 A 05/04/2017"/>
    <x v="2"/>
    <s v="CAMPUS DR. LEONEL MIRANDA"/>
    <n v="146"/>
    <x v="40"/>
    <x v="0"/>
    <n v="2"/>
    <m/>
    <n v="3.3"/>
    <x v="0"/>
    <x v="4"/>
    <n v="2"/>
    <n v="6.6"/>
    <x v="0"/>
    <s v="Papeleta 250/2017"/>
    <n v="339030"/>
    <n v="35"/>
    <x v="0"/>
  </r>
  <r>
    <s v="230836.008818/2015-9"/>
    <s v="14/2016"/>
    <s v="06/04/2016 A 05/04/2017"/>
    <x v="3"/>
    <s v="DEPARTAMENTO DE BIOLOGIA ANIMAL"/>
    <n v="38"/>
    <x v="1"/>
    <x v="0"/>
    <n v="1"/>
    <m/>
    <n v="14.88"/>
    <x v="1"/>
    <x v="5"/>
    <n v="1"/>
    <n v="14.88"/>
    <x v="0"/>
    <n v="8214"/>
    <s v="Papeleta 250/2017"/>
    <n v="35"/>
    <x v="0"/>
  </r>
  <r>
    <s v="230836.008818/2015-9"/>
    <s v="14/2016"/>
    <s v="06/04/2016 A 05/04/2017"/>
    <x v="3"/>
    <s v="DEPARTAMENTO DE BIOLOGIA ANIMAL"/>
    <n v="41"/>
    <x v="41"/>
    <x v="0"/>
    <n v="1"/>
    <m/>
    <n v="14"/>
    <x v="0"/>
    <x v="5"/>
    <n v="1"/>
    <n v="14"/>
    <x v="0"/>
    <n v="8214"/>
    <s v="Papeleta 250/2017"/>
    <n v="35"/>
    <x v="0"/>
  </r>
  <r>
    <s v="230836.008818/2015-9"/>
    <s v="14/2016"/>
    <s v="06/04/2016 A 05/04/2017"/>
    <x v="3"/>
    <s v="DEPARTAMENTO DE BIOLOGIA ANIMAL"/>
    <n v="86"/>
    <x v="42"/>
    <x v="0"/>
    <n v="1"/>
    <m/>
    <n v="9"/>
    <x v="0"/>
    <x v="4"/>
    <n v="1"/>
    <n v="9"/>
    <x v="0"/>
    <s v="Papeleta 250/2017"/>
    <n v="339030"/>
    <n v="35"/>
    <x v="0"/>
  </r>
  <r>
    <s v="230836.008818/2015-9"/>
    <s v="14/2016"/>
    <s v="06/04/2016 A 05/04/2017"/>
    <x v="3"/>
    <s v="DEPARTAMENTO DE BIOLOGIA ANIMAL"/>
    <n v="52"/>
    <x v="43"/>
    <x v="0"/>
    <n v="1"/>
    <m/>
    <n v="9.3000000000000007"/>
    <x v="0"/>
    <x v="5"/>
    <n v="1"/>
    <n v="9.3000000000000007"/>
    <x v="0"/>
    <n v="8214"/>
    <s v="Papeleta 250/2017"/>
    <n v="35"/>
    <x v="0"/>
  </r>
  <r>
    <s v="230836.008818/2015-9"/>
    <s v="14/2016"/>
    <s v="06/04/2016 A 05/04/2017"/>
    <x v="3"/>
    <s v="DEPARTAMENTO DE BIOLOGIA ANIMAL"/>
    <n v="95"/>
    <x v="44"/>
    <x v="0"/>
    <n v="1"/>
    <m/>
    <n v="3.23"/>
    <x v="0"/>
    <x v="4"/>
    <n v="1"/>
    <n v="3.23"/>
    <x v="0"/>
    <s v="Papeleta 250/2017"/>
    <n v="339030"/>
    <n v="35"/>
    <x v="0"/>
  </r>
  <r>
    <s v="230836.008818/2015-9"/>
    <s v="14/2016"/>
    <s v="06/04/2016 A 05/04/2017"/>
    <x v="3"/>
    <s v="DEPARTAMENTO DE BIOLOGIA ANIMAL"/>
    <n v="97"/>
    <x v="26"/>
    <x v="0"/>
    <n v="1"/>
    <m/>
    <n v="4.66"/>
    <x v="0"/>
    <x v="4"/>
    <n v="1"/>
    <n v="4.66"/>
    <x v="0"/>
    <s v="Papeleta 250/2017"/>
    <n v="339030"/>
    <n v="35"/>
    <x v="0"/>
  </r>
  <r>
    <s v="230836.008818/2015-9"/>
    <s v="14/2016"/>
    <s v="06/04/2016 A 05/04/2017"/>
    <x v="3"/>
    <s v="DEPARTAMENTO DE BIOLOGIA ANIMAL"/>
    <n v="108"/>
    <x v="45"/>
    <x v="0"/>
    <n v="2"/>
    <m/>
    <n v="6.49"/>
    <x v="0"/>
    <x v="4"/>
    <n v="2"/>
    <n v="12.98"/>
    <x v="0"/>
    <s v="Papeleta 250/2017"/>
    <n v="339030"/>
    <n v="35"/>
    <x v="0"/>
  </r>
  <r>
    <s v="230836.008818/2015-9"/>
    <s v="14/2016"/>
    <s v="06/04/2016 A 05/04/2017"/>
    <x v="4"/>
    <s v="DEPARTAMENTO DE CIÊNCIAS FISIOLÓGICAS"/>
    <n v="97"/>
    <x v="26"/>
    <x v="0"/>
    <n v="20"/>
    <m/>
    <n v="4.66"/>
    <x v="0"/>
    <x v="4"/>
    <n v="20"/>
    <n v="93.2"/>
    <x v="0"/>
    <s v="Papeleta 250/2017"/>
    <n v="339030"/>
    <n v="35"/>
    <x v="0"/>
  </r>
  <r>
    <s v="230836.008818/2015-9"/>
    <s v="14/2016"/>
    <s v="06/04/2016 A 05/04/2017"/>
    <x v="4"/>
    <s v="DEPARTAMENTO DE CIÊNCIAS FISIOLÓGICAS"/>
    <n v="103"/>
    <x v="46"/>
    <x v="0"/>
    <n v="30"/>
    <m/>
    <n v="4.12"/>
    <x v="0"/>
    <x v="4"/>
    <n v="30"/>
    <n v="123.60000000000001"/>
    <x v="0"/>
    <s v="Papeleta 250/2017"/>
    <n v="339030"/>
    <n v="35"/>
    <x v="0"/>
  </r>
  <r>
    <s v="230836.008818/2015-9"/>
    <s v="14/2016"/>
    <s v="06/04/2016 A 05/04/2017"/>
    <x v="4"/>
    <s v="DEPARTAMENTO DE CIÊNCIAS FISIOLÓGICAS"/>
    <n v="110"/>
    <x v="47"/>
    <x v="0"/>
    <n v="1"/>
    <m/>
    <n v="114.99"/>
    <x v="3"/>
    <x v="9"/>
    <m/>
    <n v="0"/>
    <x v="6"/>
    <m/>
    <m/>
    <m/>
    <x v="1"/>
  </r>
  <r>
    <s v="230836.008818/2015-9"/>
    <s v="14/2016"/>
    <s v="06/04/2016 A 05/04/2017"/>
    <x v="5"/>
    <s v="DEPARTAMENTO DE GENÉTICA"/>
    <n v="41"/>
    <x v="41"/>
    <x v="0"/>
    <n v="2"/>
    <m/>
    <n v="14"/>
    <x v="0"/>
    <x v="5"/>
    <n v="2"/>
    <n v="28"/>
    <x v="0"/>
    <n v="8214"/>
    <s v="Papeleta 250/2017"/>
    <n v="35"/>
    <x v="0"/>
  </r>
  <r>
    <s v="230836.008818/2015-9"/>
    <s v="14/2016"/>
    <s v="06/04/2016 A 05/04/2017"/>
    <x v="5"/>
    <s v="DEPARTAMENTO DE GENÉTICA"/>
    <n v="109"/>
    <x v="25"/>
    <x v="0"/>
    <n v="1"/>
    <m/>
    <n v="39"/>
    <x v="0"/>
    <x v="4"/>
    <n v="1"/>
    <n v="39"/>
    <x v="0"/>
    <s v="Papeleta 250/2017"/>
    <n v="339030"/>
    <n v="35"/>
    <x v="0"/>
  </r>
  <r>
    <s v="230836.008818/2015-9"/>
    <s v="14/2016"/>
    <s v="06/04/2016 A 05/04/2017"/>
    <x v="5"/>
    <s v="DEPARTAMENTO DE GENÉTICA"/>
    <n v="52"/>
    <x v="43"/>
    <x v="0"/>
    <n v="2"/>
    <m/>
    <n v="9.3000000000000007"/>
    <x v="0"/>
    <x v="5"/>
    <n v="2"/>
    <n v="18.600000000000001"/>
    <x v="0"/>
    <n v="8214"/>
    <s v="Papeleta 250/2017"/>
    <n v="35"/>
    <x v="0"/>
  </r>
  <r>
    <s v="230836.008818/2015-9"/>
    <s v="14/2016"/>
    <s v="06/04/2016 A 05/04/2017"/>
    <x v="5"/>
    <s v="DEPARTAMENTO DE GENÉTICA"/>
    <n v="54"/>
    <x v="6"/>
    <x v="0"/>
    <n v="5"/>
    <m/>
    <n v="3.99"/>
    <x v="0"/>
    <x v="5"/>
    <n v="5"/>
    <n v="19.950000000000003"/>
    <x v="0"/>
    <n v="8214"/>
    <s v="Papeleta 250/2017"/>
    <n v="35"/>
    <x v="0"/>
  </r>
  <r>
    <s v="230836.008818/2015-9"/>
    <s v="14/2016"/>
    <s v="06/04/2016 A 05/04/2017"/>
    <x v="5"/>
    <s v="DEPARTAMENTO DE GENÉTICA"/>
    <n v="92"/>
    <x v="11"/>
    <x v="0"/>
    <n v="3"/>
    <m/>
    <n v="5.7"/>
    <x v="0"/>
    <x v="10"/>
    <n v="3"/>
    <n v="17.100000000000001"/>
    <x v="1"/>
    <s v="Papeleta 306/2017"/>
    <n v="339030"/>
    <n v="35"/>
    <x v="0"/>
  </r>
  <r>
    <s v="230836.008818/2015-9"/>
    <s v="14/2016"/>
    <s v="06/04/2016 A 05/04/2017"/>
    <x v="5"/>
    <s v="DEPARTAMENTO DE GENÉTICA"/>
    <n v="120"/>
    <x v="15"/>
    <x v="0"/>
    <n v="3"/>
    <m/>
    <n v="2.2000000000000002"/>
    <x v="0"/>
    <x v="4"/>
    <n v="3"/>
    <n v="6.6000000000000005"/>
    <x v="0"/>
    <s v="Papeleta 250/2017"/>
    <n v="339030"/>
    <n v="35"/>
    <x v="0"/>
  </r>
  <r>
    <s v="230836.008818/2015-9"/>
    <s v="14/2016"/>
    <s v="06/04/2016 A 05/04/2017"/>
    <x v="5"/>
    <s v="DEPARTAMENTO DE GENÉTICA"/>
    <n v="122"/>
    <x v="33"/>
    <x v="0"/>
    <n v="3"/>
    <m/>
    <n v="2.78"/>
    <x v="0"/>
    <x v="4"/>
    <n v="3"/>
    <n v="8.34"/>
    <x v="0"/>
    <s v="Papeleta 250/2017"/>
    <n v="339030"/>
    <n v="35"/>
    <x v="0"/>
  </r>
  <r>
    <s v="230836.008818/2015-9"/>
    <s v="14/2016"/>
    <s v="06/04/2016 A 05/04/2017"/>
    <x v="5"/>
    <s v="DEPARTAMENTO DE GENÉTICA"/>
    <n v="124"/>
    <x v="16"/>
    <x v="0"/>
    <n v="3"/>
    <m/>
    <n v="5.99"/>
    <x v="1"/>
    <x v="4"/>
    <n v="3"/>
    <n v="17.97"/>
    <x v="0"/>
    <s v="Papeleta 250/2017"/>
    <n v="339030"/>
    <n v="35"/>
    <x v="0"/>
  </r>
  <r>
    <s v="230836.008818/2015-9"/>
    <s v="14/2016"/>
    <s v="06/04/2016 A 05/04/2017"/>
    <x v="5"/>
    <s v="DEPARTAMENTO DE GENÉTICA"/>
    <n v="137"/>
    <x v="37"/>
    <x v="0"/>
    <n v="2"/>
    <m/>
    <n v="6.3"/>
    <x v="0"/>
    <x v="4"/>
    <n v="2"/>
    <n v="12.6"/>
    <x v="0"/>
    <s v="Papeleta 250/2017"/>
    <n v="339030"/>
    <n v="35"/>
    <x v="0"/>
  </r>
  <r>
    <s v="230836.008818/2015-9"/>
    <s v="14/2016"/>
    <s v="06/04/2016 A 05/04/2017"/>
    <x v="5"/>
    <s v="DEPARTAMENTO DE GENÉTICA"/>
    <n v="138"/>
    <x v="48"/>
    <x v="0"/>
    <n v="5"/>
    <m/>
    <n v="5.95"/>
    <x v="0"/>
    <x v="4"/>
    <n v="5"/>
    <n v="29.75"/>
    <x v="0"/>
    <s v="Papeleta 250/2017"/>
    <n v="339030"/>
    <n v="35"/>
    <x v="0"/>
  </r>
  <r>
    <s v="230836.008818/2015-9"/>
    <s v="14/2016"/>
    <s v="06/04/2016 A 05/04/2017"/>
    <x v="6"/>
    <s v="INSTITUTO DE FLORESTAS"/>
    <n v="109"/>
    <x v="25"/>
    <x v="0"/>
    <n v="2"/>
    <m/>
    <n v="39"/>
    <x v="0"/>
    <x v="4"/>
    <n v="2"/>
    <n v="78"/>
    <x v="0"/>
    <s v="Papeleta 250/2017"/>
    <n v="339030"/>
    <n v="35"/>
    <x v="0"/>
  </r>
  <r>
    <s v="230836.008818/2015-9"/>
    <s v="14/2016"/>
    <s v="06/04/2016 A 05/04/2017"/>
    <x v="6"/>
    <s v="INSTITUTO DE FLORESTAS"/>
    <n v="140"/>
    <x v="38"/>
    <x v="0"/>
    <n v="10"/>
    <m/>
    <n v="4.51"/>
    <x v="0"/>
    <x v="7"/>
    <n v="10"/>
    <n v="45.099999999999994"/>
    <x v="5"/>
    <s v="Papeleta 379/2017"/>
    <n v="339030"/>
    <n v="35"/>
    <x v="0"/>
  </r>
  <r>
    <s v="230836.008818/2015-9"/>
    <s v="14/2016"/>
    <s v="06/04/2016 A 05/04/2017"/>
    <x v="7"/>
    <s v="DEPARTAMENTO DE FÍSICA"/>
    <n v="81"/>
    <x v="5"/>
    <x v="0"/>
    <n v="5"/>
    <m/>
    <n v="9.85"/>
    <x v="0"/>
    <x v="4"/>
    <n v="5"/>
    <n v="49.25"/>
    <x v="0"/>
    <s v="Papeleta 250/2017"/>
    <n v="339030"/>
    <n v="35"/>
    <x v="0"/>
  </r>
  <r>
    <s v="230836.008818/2015-9"/>
    <s v="14/2016"/>
    <s v="06/04/2016 A 05/04/2017"/>
    <x v="7"/>
    <s v="DEPARTAMENTO DE FÍSICA"/>
    <n v="52"/>
    <x v="43"/>
    <x v="0"/>
    <n v="5"/>
    <m/>
    <n v="9.3000000000000007"/>
    <x v="0"/>
    <x v="5"/>
    <n v="5"/>
    <n v="46.5"/>
    <x v="0"/>
    <n v="8214"/>
    <s v="Papeleta 250/2017"/>
    <n v="35"/>
    <x v="0"/>
  </r>
  <r>
    <s v="230836.008818/2015-9"/>
    <s v="14/2016"/>
    <s v="06/04/2016 A 05/04/2017"/>
    <x v="7"/>
    <s v="DEPARTAMENTO DE FÍSICA"/>
    <n v="98"/>
    <x v="8"/>
    <x v="0"/>
    <n v="5"/>
    <m/>
    <n v="4.87"/>
    <x v="0"/>
    <x v="4"/>
    <n v="5"/>
    <n v="24.35"/>
    <x v="0"/>
    <s v="Papeleta 250/2017"/>
    <n v="339030"/>
    <n v="35"/>
    <x v="0"/>
  </r>
  <r>
    <s v="230836.008818/2015-9"/>
    <s v="14/2016"/>
    <s v="06/04/2016 A 05/04/2017"/>
    <x v="7"/>
    <s v="DEPARTAMENTO DE FÍSICA"/>
    <n v="132"/>
    <x v="49"/>
    <x v="0"/>
    <n v="10"/>
    <m/>
    <n v="3.9"/>
    <x v="0"/>
    <x v="7"/>
    <n v="10"/>
    <n v="39"/>
    <x v="5"/>
    <s v="Papeleta 379/2017"/>
    <n v="339030"/>
    <n v="35"/>
    <x v="0"/>
  </r>
  <r>
    <s v="230836.008818/2015-9"/>
    <s v="14/2016"/>
    <s v="06/04/2016 A 05/04/2017"/>
    <x v="7"/>
    <s v="DEPARTAMENTO DE FÍSICA"/>
    <n v="135"/>
    <x v="50"/>
    <x v="0"/>
    <n v="2"/>
    <m/>
    <n v="83.11"/>
    <x v="0"/>
    <x v="4"/>
    <n v="2"/>
    <n v="166.22"/>
    <x v="0"/>
    <s v="Papeleta 250/2017"/>
    <n v="339030"/>
    <n v="35"/>
    <x v="0"/>
  </r>
  <r>
    <s v="230836.008818/2015-9"/>
    <s v="14/2016"/>
    <s v="06/04/2016 A 05/04/2017"/>
    <x v="7"/>
    <s v="DEPARTAMENTO DE FÍSICA"/>
    <n v="146"/>
    <x v="40"/>
    <x v="0"/>
    <n v="10"/>
    <m/>
    <n v="3.3"/>
    <x v="0"/>
    <x v="4"/>
    <n v="10"/>
    <n v="33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3"/>
    <x v="51"/>
    <x v="0"/>
    <n v="10"/>
    <m/>
    <n v="88"/>
    <x v="0"/>
    <x v="6"/>
    <n v="10"/>
    <n v="880"/>
    <x v="4"/>
    <s v="Papeleta 282/2017"/>
    <n v="339030"/>
    <n v="35"/>
    <x v="0"/>
  </r>
  <r>
    <s v="230836.008818/2015-9"/>
    <s v="14/2016"/>
    <s v="06/04/2016 A 05/04/2017"/>
    <x v="8"/>
    <s v="DEPARTAMENTO DE TECNOLOGIA DE ALIMENTOS"/>
    <n v="11"/>
    <x v="52"/>
    <x v="0"/>
    <n v="10"/>
    <m/>
    <n v="15.55"/>
    <x v="0"/>
    <x v="5"/>
    <n v="9"/>
    <n v="139.95000000000002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12"/>
    <x v="53"/>
    <x v="0"/>
    <n v="100"/>
    <m/>
    <n v="11.98"/>
    <x v="0"/>
    <x v="5"/>
    <n v="1"/>
    <n v="11.98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29"/>
    <x v="54"/>
    <x v="0"/>
    <n v="200"/>
    <m/>
    <n v="7"/>
    <x v="0"/>
    <x v="5"/>
    <n v="151"/>
    <n v="1057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24"/>
    <x v="55"/>
    <x v="0"/>
    <n v="100"/>
    <m/>
    <n v="9.91"/>
    <x v="0"/>
    <x v="6"/>
    <n v="65"/>
    <n v="644.15"/>
    <x v="4"/>
    <s v="Papeleta 282/2017"/>
    <n v="339030"/>
    <n v="35"/>
    <x v="0"/>
  </r>
  <r>
    <s v="230836.008818/2015-9"/>
    <s v="14/2016"/>
    <s v="06/04/2016 A 05/04/2017"/>
    <x v="8"/>
    <s v="DEPARTAMENTO DE TECNOLOGIA DE ALIMENTOS"/>
    <n v="37"/>
    <x v="0"/>
    <x v="0"/>
    <n v="74"/>
    <m/>
    <n v="6.88"/>
    <x v="0"/>
    <x v="5"/>
    <n v="21"/>
    <n v="144.47999999999999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38"/>
    <x v="1"/>
    <x v="0"/>
    <n v="20"/>
    <m/>
    <n v="14.88"/>
    <x v="1"/>
    <x v="5"/>
    <n v="20"/>
    <n v="297.60000000000002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40"/>
    <x v="56"/>
    <x v="0"/>
    <n v="70"/>
    <m/>
    <n v="5.07"/>
    <x v="1"/>
    <x v="5"/>
    <n v="57"/>
    <n v="288.99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43"/>
    <x v="2"/>
    <x v="0"/>
    <n v="8"/>
    <m/>
    <n v="178"/>
    <x v="0"/>
    <x v="10"/>
    <n v="1"/>
    <n v="178"/>
    <x v="1"/>
    <s v="Papeleta 306/2017"/>
    <n v="339030"/>
    <n v="35"/>
    <x v="2"/>
  </r>
  <r>
    <s v="230836.008818/2015-9"/>
    <s v="14/2016"/>
    <s v="06/04/2016 A 05/04/2017"/>
    <x v="8"/>
    <s v="DEPARTAMENTO DE TECNOLOGIA DE ALIMENTOS"/>
    <n v="47"/>
    <x v="3"/>
    <x v="0"/>
    <n v="124"/>
    <m/>
    <n v="1.98"/>
    <x v="0"/>
    <x v="8"/>
    <n v="109"/>
    <n v="215.82"/>
    <x v="2"/>
    <s v="258/2017"/>
    <n v="339030"/>
    <n v="35"/>
    <x v="2"/>
  </r>
  <r>
    <s v="230836.008818/2015-9"/>
    <s v="14/2016"/>
    <s v="06/04/2016 A 05/04/2017"/>
    <x v="8"/>
    <s v="DEPARTAMENTO DE TECNOLOGIA DE ALIMENTOS"/>
    <n v="64"/>
    <x v="57"/>
    <x v="0"/>
    <n v="1"/>
    <m/>
    <n v="319"/>
    <x v="0"/>
    <x v="4"/>
    <n v="1"/>
    <n v="319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62"/>
    <x v="58"/>
    <x v="0"/>
    <n v="20"/>
    <m/>
    <n v="32"/>
    <x v="0"/>
    <x v="8"/>
    <n v="20"/>
    <n v="640"/>
    <x v="2"/>
    <s v="258/2017"/>
    <n v="339030"/>
    <n v="35"/>
    <x v="0"/>
  </r>
  <r>
    <s v="230836.008818/2015-9"/>
    <s v="14/2016"/>
    <s v="06/04/2016 A 05/04/2017"/>
    <x v="8"/>
    <s v="DEPARTAMENTO DE TECNOLOGIA DE ALIMENTOS"/>
    <n v="66"/>
    <x v="59"/>
    <x v="0"/>
    <n v="100"/>
    <m/>
    <n v="24.88"/>
    <x v="0"/>
    <x v="4"/>
    <n v="6"/>
    <n v="149.2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80"/>
    <x v="60"/>
    <x v="0"/>
    <n v="5"/>
    <m/>
    <n v="10.96"/>
    <x v="0"/>
    <x v="4"/>
    <n v="4"/>
    <n v="43.84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86"/>
    <x v="42"/>
    <x v="0"/>
    <n v="12"/>
    <m/>
    <n v="9"/>
    <x v="0"/>
    <x v="4"/>
    <n v="12"/>
    <n v="10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89"/>
    <x v="24"/>
    <x v="0"/>
    <n v="12"/>
    <m/>
    <n v="9.9"/>
    <x v="0"/>
    <x v="4"/>
    <n v="12"/>
    <n v="118.80000000000001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09"/>
    <x v="25"/>
    <x v="0"/>
    <n v="4"/>
    <m/>
    <n v="39"/>
    <x v="0"/>
    <x v="4"/>
    <n v="4"/>
    <n v="156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05"/>
    <x v="61"/>
    <x v="0"/>
    <n v="20"/>
    <m/>
    <n v="7.19"/>
    <x v="0"/>
    <x v="7"/>
    <n v="20"/>
    <n v="143.80000000000001"/>
    <x v="5"/>
    <s v="Papeleta 379/2017"/>
    <n v="339030"/>
    <n v="35"/>
    <x v="0"/>
  </r>
  <r>
    <s v="230836.008818/2015-9"/>
    <s v="14/2016"/>
    <s v="06/04/2016 A 05/04/2017"/>
    <x v="8"/>
    <s v="DEPARTAMENTO DE TECNOLOGIA DE ALIMENTOS"/>
    <n v="52"/>
    <x v="43"/>
    <x v="0"/>
    <n v="50"/>
    <m/>
    <n v="9.3000000000000007"/>
    <x v="0"/>
    <x v="5"/>
    <n v="50"/>
    <n v="465.00000000000006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54"/>
    <x v="6"/>
    <x v="0"/>
    <n v="140"/>
    <m/>
    <n v="3.99"/>
    <x v="0"/>
    <x v="5"/>
    <n v="132"/>
    <n v="526.68000000000006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95"/>
    <x v="44"/>
    <x v="0"/>
    <n v="12"/>
    <m/>
    <n v="3.23"/>
    <x v="0"/>
    <x v="4"/>
    <n v="12"/>
    <n v="38.76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56"/>
    <x v="7"/>
    <x v="0"/>
    <n v="96"/>
    <m/>
    <n v="7.2"/>
    <x v="0"/>
    <x v="5"/>
    <n v="95"/>
    <n v="684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97"/>
    <x v="26"/>
    <x v="0"/>
    <n v="12"/>
    <m/>
    <n v="4.66"/>
    <x v="0"/>
    <x v="4"/>
    <n v="12"/>
    <n v="55.92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98"/>
    <x v="8"/>
    <x v="0"/>
    <n v="16"/>
    <m/>
    <n v="4.87"/>
    <x v="0"/>
    <x v="4"/>
    <n v="16"/>
    <n v="77.92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03"/>
    <x v="46"/>
    <x v="0"/>
    <n v="82"/>
    <m/>
    <n v="4.12"/>
    <x v="0"/>
    <x v="4"/>
    <n v="74"/>
    <n v="304.8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06"/>
    <x v="62"/>
    <x v="0"/>
    <n v="100"/>
    <m/>
    <n v="7.5"/>
    <x v="0"/>
    <x v="4"/>
    <n v="54"/>
    <n v="405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04"/>
    <x v="9"/>
    <x v="0"/>
    <n v="173"/>
    <m/>
    <n v="2.15"/>
    <x v="0"/>
    <x v="4"/>
    <n v="32"/>
    <n v="68.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00"/>
    <x v="10"/>
    <x v="0"/>
    <n v="128"/>
    <m/>
    <n v="3.52"/>
    <x v="0"/>
    <x v="8"/>
    <n v="82"/>
    <n v="288.64"/>
    <x v="2"/>
    <s v="258/2017"/>
    <n v="339030"/>
    <n v="35"/>
    <x v="2"/>
  </r>
  <r>
    <s v="230836.008818/2015-9"/>
    <s v="14/2016"/>
    <s v="06/04/2016 A 05/04/2017"/>
    <x v="8"/>
    <s v="DEPARTAMENTO DE TECNOLOGIA DE ALIMENTOS"/>
    <n v="107"/>
    <x v="63"/>
    <x v="0"/>
    <n v="8"/>
    <m/>
    <n v="4.9000000000000004"/>
    <x v="0"/>
    <x v="4"/>
    <n v="8"/>
    <n v="39.200000000000003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90"/>
    <x v="64"/>
    <x v="0"/>
    <n v="8"/>
    <m/>
    <n v="6"/>
    <x v="0"/>
    <x v="4"/>
    <n v="8"/>
    <n v="4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91"/>
    <x v="65"/>
    <x v="0"/>
    <n v="100"/>
    <m/>
    <n v="4.1500000000000004"/>
    <x v="0"/>
    <x v="4"/>
    <n v="10"/>
    <n v="41.5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92"/>
    <x v="11"/>
    <x v="0"/>
    <n v="236"/>
    <m/>
    <n v="5.7"/>
    <x v="0"/>
    <x v="10"/>
    <n v="167"/>
    <n v="951.9"/>
    <x v="1"/>
    <s v="Papeleta 306/2017"/>
    <n v="339030"/>
    <n v="35"/>
    <x v="2"/>
  </r>
  <r>
    <s v="230836.008818/2015-9"/>
    <s v="14/2016"/>
    <s v="06/04/2016 A 05/04/2017"/>
    <x v="8"/>
    <s v="DEPARTAMENTO DE TECNOLOGIA DE ALIMENTOS"/>
    <n v="94"/>
    <x v="30"/>
    <x v="0"/>
    <n v="200"/>
    <m/>
    <n v="8"/>
    <x v="0"/>
    <x v="4"/>
    <n v="200"/>
    <n v="1600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96"/>
    <x v="31"/>
    <x v="0"/>
    <n v="100"/>
    <m/>
    <n v="4.3499999999999996"/>
    <x v="1"/>
    <x v="4"/>
    <n v="66"/>
    <n v="287.09999999999997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10"/>
    <x v="47"/>
    <x v="0"/>
    <n v="40"/>
    <m/>
    <n v="114.99"/>
    <x v="3"/>
    <x v="9"/>
    <m/>
    <n v="0"/>
    <x v="6"/>
    <m/>
    <m/>
    <m/>
    <x v="1"/>
  </r>
  <r>
    <s v="230836.008818/2015-9"/>
    <s v="14/2016"/>
    <s v="06/04/2016 A 05/04/2017"/>
    <x v="8"/>
    <s v="DEPARTAMENTO DE TECNOLOGIA DE ALIMENTOS"/>
    <n v="113"/>
    <x v="66"/>
    <x v="0"/>
    <n v="8"/>
    <m/>
    <n v="389"/>
    <x v="0"/>
    <x v="4"/>
    <n v="8"/>
    <n v="3112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15"/>
    <x v="67"/>
    <x v="0"/>
    <n v="10"/>
    <m/>
    <n v="389"/>
    <x v="0"/>
    <x v="4"/>
    <n v="10"/>
    <n v="3890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18"/>
    <x v="12"/>
    <x v="0"/>
    <n v="10"/>
    <m/>
    <n v="102"/>
    <x v="0"/>
    <x v="4"/>
    <n v="6"/>
    <n v="612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16"/>
    <x v="68"/>
    <x v="0"/>
    <n v="54"/>
    <m/>
    <n v="4.84"/>
    <x v="0"/>
    <x v="4"/>
    <n v="23"/>
    <n v="111.32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17"/>
    <x v="13"/>
    <x v="0"/>
    <n v="30"/>
    <m/>
    <n v="2.3199999999999998"/>
    <x v="0"/>
    <x v="4"/>
    <n v="30"/>
    <n v="69.599999999999994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19"/>
    <x v="14"/>
    <x v="0"/>
    <n v="2"/>
    <m/>
    <n v="204.99"/>
    <x v="0"/>
    <x v="7"/>
    <n v="2"/>
    <n v="409.98"/>
    <x v="5"/>
    <s v="Papeleta 379/2017"/>
    <n v="339030"/>
    <n v="35"/>
    <x v="0"/>
  </r>
  <r>
    <s v="230836.008818/2015-9"/>
    <s v="14/2016"/>
    <s v="06/04/2016 A 05/04/2017"/>
    <x v="8"/>
    <s v="DEPARTAMENTO DE TECNOLOGIA DE ALIMENTOS"/>
    <n v="120"/>
    <x v="15"/>
    <x v="0"/>
    <n v="6"/>
    <m/>
    <n v="2.2000000000000002"/>
    <x v="0"/>
    <x v="4"/>
    <n v="6"/>
    <n v="13.200000000000001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21"/>
    <x v="32"/>
    <x v="0"/>
    <n v="6"/>
    <m/>
    <n v="3.12"/>
    <x v="0"/>
    <x v="8"/>
    <n v="6"/>
    <n v="18.72"/>
    <x v="2"/>
    <s v="258/2017"/>
    <n v="339030"/>
    <n v="35"/>
    <x v="0"/>
  </r>
  <r>
    <s v="230836.008818/2015-9"/>
    <s v="14/2016"/>
    <s v="06/04/2016 A 05/04/2017"/>
    <x v="8"/>
    <s v="DEPARTAMENTO DE TECNOLOGIA DE ALIMENTOS"/>
    <n v="122"/>
    <x v="33"/>
    <x v="0"/>
    <n v="20"/>
    <m/>
    <n v="2.78"/>
    <x v="0"/>
    <x v="4"/>
    <n v="20"/>
    <n v="55.599999999999994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24"/>
    <x v="16"/>
    <x v="0"/>
    <n v="22"/>
    <m/>
    <n v="5.99"/>
    <x v="1"/>
    <x v="4"/>
    <n v="22"/>
    <n v="131.7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25"/>
    <x v="35"/>
    <x v="0"/>
    <n v="10"/>
    <m/>
    <n v="5.2"/>
    <x v="0"/>
    <x v="4"/>
    <n v="10"/>
    <n v="52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26"/>
    <x v="69"/>
    <x v="0"/>
    <n v="30"/>
    <m/>
    <n v="8.2899999999999991"/>
    <x v="0"/>
    <x v="4"/>
    <n v="30"/>
    <n v="248.7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28"/>
    <x v="70"/>
    <x v="0"/>
    <n v="40"/>
    <m/>
    <n v="117.77"/>
    <x v="0"/>
    <x v="4"/>
    <n v="40"/>
    <n v="4710.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36"/>
    <x v="36"/>
    <x v="0"/>
    <n v="120"/>
    <m/>
    <n v="4.05"/>
    <x v="0"/>
    <x v="4"/>
    <n v="120"/>
    <n v="486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38"/>
    <x v="48"/>
    <x v="0"/>
    <n v="120"/>
    <m/>
    <n v="5.95"/>
    <x v="0"/>
    <x v="4"/>
    <n v="108"/>
    <n v="642.6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41"/>
    <x v="71"/>
    <x v="0"/>
    <n v="150"/>
    <m/>
    <n v="4.38"/>
    <x v="0"/>
    <x v="7"/>
    <n v="130"/>
    <n v="569.4"/>
    <x v="5"/>
    <s v="Papeleta 379/2017"/>
    <n v="339030"/>
    <n v="35"/>
    <x v="2"/>
  </r>
  <r>
    <s v="230836.008818/2015-9"/>
    <s v="14/2016"/>
    <s v="06/04/2016 A 05/04/2017"/>
    <x v="8"/>
    <s v="DEPARTAMENTO DE TECNOLOGIA DE ALIMENTOS"/>
    <n v="142"/>
    <x v="72"/>
    <x v="0"/>
    <n v="150"/>
    <m/>
    <n v="4.79"/>
    <x v="0"/>
    <x v="7"/>
    <n v="130"/>
    <n v="622.70000000000005"/>
    <x v="5"/>
    <s v="Papeleta 379/2017"/>
    <n v="339030"/>
    <n v="35"/>
    <x v="0"/>
  </r>
  <r>
    <s v="230836.008818/2015-9"/>
    <s v="14/2016"/>
    <s v="06/04/2016 A 05/04/2017"/>
    <x v="8"/>
    <s v="DEPARTAMENTO DE TECNOLOGIA DE ALIMENTOS"/>
    <n v="155"/>
    <x v="73"/>
    <x v="0"/>
    <n v="14"/>
    <m/>
    <n v="15.97"/>
    <x v="0"/>
    <x v="4"/>
    <n v="14"/>
    <n v="223.58"/>
    <x v="0"/>
    <s v="Papeleta 250/2017"/>
    <n v="339030"/>
    <n v="35"/>
    <x v="0"/>
  </r>
  <r>
    <s v="230836.008818/2015-9"/>
    <s v="14/2016"/>
    <s v="06/04/2016 A 05/04/2017"/>
    <x v="8"/>
    <s v="DEPARTAMENTO DE TECNOLOGIA DE ALIMENTOS"/>
    <n v="1"/>
    <x v="17"/>
    <x v="0"/>
    <n v="10"/>
    <m/>
    <n v="1020"/>
    <x v="0"/>
    <x v="5"/>
    <n v="10"/>
    <n v="10200"/>
    <x v="0"/>
    <n v="8214"/>
    <s v="Papeleta 250/2017"/>
    <n v="35"/>
    <x v="0"/>
  </r>
  <r>
    <s v="230836.008818/2015-9"/>
    <s v="14/2016"/>
    <s v="06/04/2016 A 05/04/2017"/>
    <x v="8"/>
    <s v="DEPARTAMENTO DE TECNOLOGIA DE ALIMENTOS"/>
    <n v="2"/>
    <x v="74"/>
    <x v="0"/>
    <n v="10"/>
    <m/>
    <n v="1800"/>
    <x v="0"/>
    <x v="5"/>
    <n v="10"/>
    <n v="18000"/>
    <x v="0"/>
    <n v="8214"/>
    <s v="Papeleta 250/2017"/>
    <n v="35"/>
    <x v="0"/>
  </r>
  <r>
    <s v="230836.008818/2015-9"/>
    <s v="14/2016"/>
    <s v="06/04/2016 A 05/04/2017"/>
    <x v="9"/>
    <s v="DEPARTAMENTO DE PARASITOLOGIA ANIMAL"/>
    <n v="58"/>
    <x v="4"/>
    <x v="0"/>
    <n v="2"/>
    <m/>
    <n v="24"/>
    <x v="0"/>
    <x v="4"/>
    <n v="2"/>
    <n v="48"/>
    <x v="0"/>
    <s v="Papeleta 250/2017"/>
    <n v="339030"/>
    <n v="35"/>
    <x v="0"/>
  </r>
  <r>
    <s v="230836.008818/2015-9"/>
    <s v="14/2016"/>
    <s v="06/04/2016 A 05/04/2017"/>
    <x v="9"/>
    <s v="DEPARTAMENTO DE PARASITOLOGIA ANIMAL"/>
    <n v="120"/>
    <x v="15"/>
    <x v="0"/>
    <n v="4"/>
    <m/>
    <n v="2.2000000000000002"/>
    <x v="0"/>
    <x v="4"/>
    <n v="4"/>
    <n v="8.8000000000000007"/>
    <x v="0"/>
    <s v="Papeleta 250/2017"/>
    <n v="339030"/>
    <n v="35"/>
    <x v="0"/>
  </r>
  <r>
    <s v="230836.008818/2015-9"/>
    <s v="14/2016"/>
    <s v="06/04/2016 A 05/04/2017"/>
    <x v="9"/>
    <s v="DEPARTAMENTO DE PARASITOLOGIA ANIMAL"/>
    <n v="123"/>
    <x v="34"/>
    <x v="0"/>
    <n v="2"/>
    <m/>
    <n v="3.68"/>
    <x v="0"/>
    <x v="4"/>
    <n v="2"/>
    <n v="7.36"/>
    <x v="0"/>
    <s v="Papeleta 250/2017"/>
    <n v="339030"/>
    <n v="35"/>
    <x v="0"/>
  </r>
  <r>
    <s v="230836.008818/2015-9"/>
    <s v="14/2016"/>
    <s v="06/04/2016 A 05/04/2017"/>
    <x v="9"/>
    <s v="DEPARTAMENTO DE PARASITOLOGIA ANIMAL"/>
    <n v="125"/>
    <x v="35"/>
    <x v="0"/>
    <n v="4"/>
    <m/>
    <n v="5.2"/>
    <x v="0"/>
    <x v="4"/>
    <n v="4"/>
    <n v="20.8"/>
    <x v="0"/>
    <s v="Papeleta 250/2017"/>
    <n v="339030"/>
    <n v="35"/>
    <x v="0"/>
  </r>
  <r>
    <s v="230836.008818/2015-9"/>
    <s v="14/2016"/>
    <s v="06/04/2016 A 05/04/2017"/>
    <x v="10"/>
    <s v="INSTITUTO DE ZOOTECNIA"/>
    <n v="119"/>
    <x v="14"/>
    <x v="0"/>
    <n v="1"/>
    <m/>
    <n v="204.99"/>
    <x v="0"/>
    <x v="7"/>
    <n v="1"/>
    <n v="204.99"/>
    <x v="5"/>
    <s v="Papeleta 379/2017"/>
    <n v="339030"/>
    <n v="35"/>
    <x v="0"/>
  </r>
  <r>
    <s v="230836.008818/2015-9"/>
    <s v="14/2016"/>
    <s v="06/04/2016 A 05/04/2017"/>
    <x v="11"/>
    <s v="DIREÇÃO CAMPUS NOVA IGUAÇU"/>
    <n v="116"/>
    <x v="68"/>
    <x v="0"/>
    <n v="2"/>
    <m/>
    <n v="4.84"/>
    <x v="0"/>
    <x v="4"/>
    <n v="2"/>
    <n v="9.68"/>
    <x v="0"/>
    <s v="Papeleta 250/2017"/>
    <n v="339030"/>
    <n v="35"/>
    <x v="0"/>
  </r>
  <r>
    <s v="230836.008818/2015-9"/>
    <s v="14/2016"/>
    <s v="06/04/2016 A 05/04/2017"/>
    <x v="11"/>
    <s v="DIREÇÃO CAMPUS NOVA IGUAÇU"/>
    <n v="117"/>
    <x v="13"/>
    <x v="0"/>
    <n v="2"/>
    <m/>
    <n v="2.3199999999999998"/>
    <x v="0"/>
    <x v="4"/>
    <n v="2"/>
    <n v="4.6399999999999997"/>
    <x v="0"/>
    <s v="Papeleta 250/2017"/>
    <n v="339030"/>
    <n v="35"/>
    <x v="0"/>
  </r>
  <r>
    <s v="230836.008818/2015-9"/>
    <s v="14/2016"/>
    <s v="06/04/2016 A 05/04/2017"/>
    <x v="11"/>
    <s v="DIREÇÃO CAMPUS NOVA IGUAÇU"/>
    <n v="126"/>
    <x v="69"/>
    <x v="0"/>
    <n v="3"/>
    <m/>
    <n v="8.2899999999999991"/>
    <x v="1"/>
    <x v="4"/>
    <n v="3"/>
    <n v="24.869999999999997"/>
    <x v="0"/>
    <s v="Papeleta 250/2017"/>
    <n v="339030"/>
    <n v="35"/>
    <x v="0"/>
  </r>
  <r>
    <s v="230836.008818/2015-9"/>
    <s v="14/2016"/>
    <s v="06/04/2016 A 05/04/2017"/>
    <x v="12"/>
    <s v="INSTITUTO DE CIÊNCIAS SOCIAIS APLICADAS"/>
    <n v="62"/>
    <x v="58"/>
    <x v="0"/>
    <n v="2"/>
    <m/>
    <n v="32"/>
    <x v="0"/>
    <x v="8"/>
    <n v="2"/>
    <n v="64"/>
    <x v="2"/>
    <s v="258/2017"/>
    <n v="339030"/>
    <n v="35"/>
    <x v="0"/>
  </r>
  <r>
    <s v="230836.008818/2015-9"/>
    <s v="14/2016"/>
    <s v="06/04/2016 A 05/04/2017"/>
    <x v="12"/>
    <s v="INSTITUTO DE CIÊNCIAS SOCIAIS APLICADAS"/>
    <n v="102"/>
    <x v="28"/>
    <x v="0"/>
    <n v="4"/>
    <m/>
    <n v="10"/>
    <x v="0"/>
    <x v="4"/>
    <n v="4"/>
    <n v="40"/>
    <x v="0"/>
    <s v="Papeleta 250/2017"/>
    <n v="339030"/>
    <n v="35"/>
    <x v="0"/>
  </r>
  <r>
    <s v="230836.008818/2015-9"/>
    <s v="14/2016"/>
    <s v="06/04/2016 A 05/04/2017"/>
    <x v="0"/>
    <s v="CTUR"/>
    <n v="3"/>
    <x v="51"/>
    <x v="0"/>
    <n v="1"/>
    <m/>
    <n v="88"/>
    <x v="4"/>
    <x v="11"/>
    <n v="1"/>
    <n v="88"/>
    <x v="7"/>
    <s v="Papeleta 217/2017"/>
    <m/>
    <n v="35"/>
    <x v="0"/>
  </r>
  <r>
    <s v="230836.008818/2015-9"/>
    <s v="14/2016"/>
    <s v="06/04/2016 A 05/04/2017"/>
    <x v="0"/>
    <s v="CTUR"/>
    <n v="25"/>
    <x v="75"/>
    <x v="0"/>
    <n v="10"/>
    <m/>
    <n v="5.42"/>
    <x v="4"/>
    <x v="12"/>
    <n v="10"/>
    <n v="54.2"/>
    <x v="8"/>
    <s v="Papeleta 226/2017"/>
    <n v="339030"/>
    <n v="35"/>
    <x v="0"/>
  </r>
  <r>
    <s v="230836.008818/2015-9"/>
    <s v="14/2016"/>
    <s v="06/04/2016 A 05/04/2017"/>
    <x v="0"/>
    <s v="CTUR"/>
    <n v="33"/>
    <x v="76"/>
    <x v="0"/>
    <n v="10"/>
    <m/>
    <n v="18.95"/>
    <x v="4"/>
    <x v="12"/>
    <n v="10"/>
    <n v="189.5"/>
    <x v="8"/>
    <s v="Papeleta 226/2017"/>
    <n v="339030"/>
    <n v="35"/>
    <x v="0"/>
  </r>
  <r>
    <s v="230836.008818/2015-9"/>
    <s v="14/2016"/>
    <s v="06/04/2016 A 05/04/2017"/>
    <x v="0"/>
    <s v="CTUR"/>
    <n v="45"/>
    <x v="77"/>
    <x v="0"/>
    <n v="10"/>
    <m/>
    <n v="0.79"/>
    <x v="4"/>
    <x v="12"/>
    <n v="5"/>
    <n v="3.95"/>
    <x v="8"/>
    <s v="Papeleta 226/2017"/>
    <n v="339030"/>
    <n v="35"/>
    <x v="3"/>
  </r>
  <r>
    <s v="230836.008818/2015-9"/>
    <s v="14/2016"/>
    <s v="06/04/2016 A 05/04/2017"/>
    <x v="0"/>
    <s v="CTUR"/>
    <n v="64"/>
    <x v="57"/>
    <x v="0"/>
    <n v="1"/>
    <m/>
    <n v="319"/>
    <x v="4"/>
    <x v="12"/>
    <n v="1"/>
    <n v="319"/>
    <x v="8"/>
    <s v="Papeleta 226/2017"/>
    <n v="339030"/>
    <n v="35"/>
    <x v="0"/>
  </r>
  <r>
    <s v="230836.008818/2015-9"/>
    <s v="14/2016"/>
    <s v="06/04/2016 A 05/04/2017"/>
    <x v="0"/>
    <s v="CTUR"/>
    <n v="61"/>
    <x v="78"/>
    <x v="0"/>
    <n v="10"/>
    <m/>
    <n v="23.2"/>
    <x v="4"/>
    <x v="12"/>
    <n v="10"/>
    <n v="232"/>
    <x v="8"/>
    <s v="Papeleta 226/2017"/>
    <n v="339030"/>
    <n v="35"/>
    <x v="0"/>
  </r>
  <r>
    <s v="230836.008818/2015-9"/>
    <s v="14/2016"/>
    <s v="06/04/2016 A 05/04/2017"/>
    <x v="0"/>
    <s v="CTUR"/>
    <n v="71"/>
    <x v="79"/>
    <x v="0"/>
    <n v="10"/>
    <m/>
    <n v="4.95"/>
    <x v="5"/>
    <x v="12"/>
    <n v="3"/>
    <n v="14.850000000000001"/>
    <x v="8"/>
    <s v="Papeleta 226/2017"/>
    <n v="339030"/>
    <n v="35"/>
    <x v="3"/>
  </r>
  <r>
    <s v="230836.008818/2015-9"/>
    <s v="14/2016"/>
    <s v="06/04/2016 A 05/04/2017"/>
    <x v="0"/>
    <s v="CTUR"/>
    <n v="99"/>
    <x v="29"/>
    <x v="0"/>
    <n v="6"/>
    <m/>
    <n v="8.1"/>
    <x v="4"/>
    <x v="12"/>
    <n v="6"/>
    <n v="48.599999999999994"/>
    <x v="8"/>
    <s v="Papeleta 226/2017"/>
    <n v="339030"/>
    <n v="35"/>
    <x v="0"/>
  </r>
  <r>
    <s v="230836.008818/2015-9"/>
    <s v="14/2016"/>
    <s v="06/04/2016 A 05/04/2017"/>
    <x v="0"/>
    <s v="CTUR"/>
    <n v="110"/>
    <x v="47"/>
    <x v="0"/>
    <n v="10"/>
    <m/>
    <n v="114.99"/>
    <x v="3"/>
    <x v="9"/>
    <m/>
    <n v="0"/>
    <x v="6"/>
    <m/>
    <m/>
    <m/>
    <x v="1"/>
  </r>
  <r>
    <s v="230836.008818/2015-9"/>
    <s v="14/2016"/>
    <s v="06/04/2016 A 05/04/2017"/>
    <x v="0"/>
    <s v="CTUR"/>
    <n v="111"/>
    <x v="80"/>
    <x v="0"/>
    <n v="10"/>
    <m/>
    <n v="17.95"/>
    <x v="4"/>
    <x v="12"/>
    <n v="10"/>
    <n v="179.5"/>
    <x v="8"/>
    <s v="Papeleta 226/2017"/>
    <n v="339030"/>
    <n v="35"/>
    <x v="0"/>
  </r>
  <r>
    <s v="230836.008818/2015-9"/>
    <s v="14/2016"/>
    <s v="06/04/2016 A 05/04/2017"/>
    <x v="0"/>
    <s v="CTUR"/>
    <n v="134"/>
    <x v="81"/>
    <x v="0"/>
    <n v="10"/>
    <m/>
    <n v="13.49"/>
    <x v="4"/>
    <x v="12"/>
    <n v="10"/>
    <n v="134.9"/>
    <x v="8"/>
    <s v="Papeleta 226/2017"/>
    <n v="339030"/>
    <n v="35"/>
    <x v="0"/>
  </r>
  <r>
    <s v="230836.008818/2015-9"/>
    <s v="14/2016"/>
    <s v="06/04/2016 A 05/04/2017"/>
    <x v="2"/>
    <s v="CAMPUS DR. LEONEL MIRANDA"/>
    <n v="101"/>
    <x v="27"/>
    <x v="0"/>
    <n v="2"/>
    <m/>
    <n v="7"/>
    <x v="4"/>
    <x v="13"/>
    <n v="2"/>
    <n v="14"/>
    <x v="8"/>
    <s v="Papeleta 226/2017"/>
    <n v="339030"/>
    <n v="35"/>
    <x v="0"/>
  </r>
  <r>
    <s v="230836.008818/2015-9"/>
    <s v="14/2016"/>
    <s v="06/04/2016 A 05/04/2017"/>
    <x v="2"/>
    <s v="CAMPUS DR. LEONEL MIRANDA"/>
    <n v="99"/>
    <x v="29"/>
    <x v="0"/>
    <n v="3"/>
    <m/>
    <n v="8.1"/>
    <x v="4"/>
    <x v="13"/>
    <n v="3"/>
    <n v="24.299999999999997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74"/>
    <x v="82"/>
    <x v="0"/>
    <n v="100"/>
    <m/>
    <n v="9.33"/>
    <x v="4"/>
    <x v="13"/>
    <n v="54"/>
    <n v="503.82"/>
    <x v="8"/>
    <s v="Papeleta 226/2017"/>
    <n v="339030"/>
    <n v="35"/>
    <x v="3"/>
  </r>
  <r>
    <s v="230836.008818/2015-9"/>
    <s v="14/2016"/>
    <s v="06/04/2016 A 05/04/2017"/>
    <x v="13"/>
    <s v="DEPARTAMENTO DE ENTOMOLOGIA E FITOPATOLOGIA"/>
    <n v="120"/>
    <x v="15"/>
    <x v="0"/>
    <n v="10"/>
    <m/>
    <n v="2.2000000000000002"/>
    <x v="4"/>
    <x v="13"/>
    <n v="10"/>
    <n v="22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122"/>
    <x v="33"/>
    <x v="0"/>
    <n v="10"/>
    <m/>
    <n v="2.78"/>
    <x v="4"/>
    <x v="13"/>
    <n v="10"/>
    <n v="27.799999999999997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123"/>
    <x v="34"/>
    <x v="0"/>
    <n v="10"/>
    <m/>
    <n v="3.68"/>
    <x v="4"/>
    <x v="13"/>
    <n v="10"/>
    <n v="36.800000000000004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124"/>
    <x v="16"/>
    <x v="0"/>
    <n v="1"/>
    <m/>
    <n v="5.99"/>
    <x v="4"/>
    <x v="13"/>
    <n v="1"/>
    <n v="5.99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125"/>
    <x v="35"/>
    <x v="0"/>
    <n v="10"/>
    <m/>
    <n v="5.2"/>
    <x v="4"/>
    <x v="13"/>
    <n v="10"/>
    <n v="52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126"/>
    <x v="69"/>
    <x v="0"/>
    <n v="10"/>
    <m/>
    <n v="8.2899999999999991"/>
    <x v="4"/>
    <x v="13"/>
    <n v="10"/>
    <n v="82.899999999999991"/>
    <x v="8"/>
    <s v="Papeleta 226/2017"/>
    <n v="339030"/>
    <n v="35"/>
    <x v="0"/>
  </r>
  <r>
    <s v="230836.008818/2015-9"/>
    <s v="14/2016"/>
    <s v="06/04/2016 A 05/04/2017"/>
    <x v="13"/>
    <s v="DEPARTAMENTO DE ENTOMOLOGIA E FITOPATOLOGIA"/>
    <n v="121"/>
    <x v="32"/>
    <x v="0"/>
    <n v="10"/>
    <m/>
    <n v="3.12"/>
    <x v="4"/>
    <x v="14"/>
    <n v="10"/>
    <n v="31.200000000000003"/>
    <x v="2"/>
    <n v="4648"/>
    <n v="339030"/>
    <n v="35"/>
    <x v="0"/>
  </r>
  <r>
    <s v="230836.008818/2015-9"/>
    <s v="14/2016"/>
    <s v="06/04/2016 A 05/04/2017"/>
    <x v="14"/>
    <s v="DEPARTAMENTO DE CIÊNCIAS AMBIENTAIS"/>
    <n v="9"/>
    <x v="83"/>
    <x v="0"/>
    <n v="3"/>
    <m/>
    <n v="12"/>
    <x v="4"/>
    <x v="13"/>
    <n v="3"/>
    <n v="36"/>
    <x v="8"/>
    <s v="Papeleta 226/2017"/>
    <n v="339030"/>
    <n v="35"/>
    <x v="0"/>
  </r>
  <r>
    <s v="230836.008818/2015-9"/>
    <s v="14/2016"/>
    <s v="06/04/2016 A 05/04/2017"/>
    <x v="14"/>
    <s v="DEPARTAMENTO DE CIÊNCIAS AMBIENTAIS"/>
    <n v="29"/>
    <x v="54"/>
    <x v="0"/>
    <n v="3"/>
    <m/>
    <n v="7"/>
    <x v="4"/>
    <x v="13"/>
    <n v="3"/>
    <n v="21"/>
    <x v="8"/>
    <s v="Papeleta 226/2017"/>
    <n v="339030"/>
    <n v="35"/>
    <x v="0"/>
  </r>
  <r>
    <s v="230836.008818/2015-9"/>
    <s v="14/2016"/>
    <s v="06/04/2016 A 05/04/2017"/>
    <x v="15"/>
    <s v="DEPARTAMENTO SIVICULTURA"/>
    <n v="33"/>
    <x v="76"/>
    <x v="0"/>
    <n v="1"/>
    <m/>
    <n v="18.95"/>
    <x v="4"/>
    <x v="13"/>
    <n v="1"/>
    <n v="18.95"/>
    <x v="8"/>
    <s v="Papeleta 226/2017"/>
    <n v="339030"/>
    <n v="35"/>
    <x v="0"/>
  </r>
  <r>
    <s v="230836.008818/2015-9"/>
    <s v="14/2016"/>
    <s v="06/04/2016 A 05/04/2017"/>
    <x v="15"/>
    <s v="DEPARTAMENTO SIVICULTURA"/>
    <n v="34"/>
    <x v="84"/>
    <x v="0"/>
    <n v="1"/>
    <m/>
    <n v="22.55"/>
    <x v="4"/>
    <x v="13"/>
    <n v="1"/>
    <n v="22.55"/>
    <x v="8"/>
    <s v="Papeleta 226/2017"/>
    <n v="339030"/>
    <n v="35"/>
    <x v="0"/>
  </r>
  <r>
    <s v="230836.008818/2015-9"/>
    <s v="14/2016"/>
    <s v="06/04/2016 A 05/04/2017"/>
    <x v="15"/>
    <s v="DEPARTAMENTO SIVICULTURA"/>
    <n v="35"/>
    <x v="85"/>
    <x v="0"/>
    <n v="1"/>
    <m/>
    <n v="29.55"/>
    <x v="6"/>
    <x v="15"/>
    <n v="1"/>
    <n v="29.55"/>
    <x v="8"/>
    <s v="Papeleta 215/2017"/>
    <n v="339030"/>
    <n v="35"/>
    <x v="0"/>
  </r>
  <r>
    <s v="230836.008818/2015-9"/>
    <s v="14/2016"/>
    <s v="06/04/2016 A 05/04/2017"/>
    <x v="15"/>
    <s v="DEPARTAMENTO SIVICULTURA"/>
    <n v="37"/>
    <x v="0"/>
    <x v="0"/>
    <n v="1"/>
    <m/>
    <n v="6.88"/>
    <x v="4"/>
    <x v="13"/>
    <n v="1"/>
    <n v="6.88"/>
    <x v="8"/>
    <s v="Papeleta 226/2017"/>
    <n v="339030"/>
    <n v="35"/>
    <x v="0"/>
  </r>
  <r>
    <s v="230836.008818/2015-9"/>
    <s v="14/2016"/>
    <s v="06/04/2016 A 05/04/2017"/>
    <x v="15"/>
    <s v="DEPARTAMENTO SIVICULTURA"/>
    <n v="38"/>
    <x v="1"/>
    <x v="0"/>
    <n v="1"/>
    <m/>
    <n v="14.88"/>
    <x v="4"/>
    <x v="13"/>
    <n v="1"/>
    <n v="14.88"/>
    <x v="8"/>
    <s v="Papeleta 226/2017"/>
    <n v="339030"/>
    <n v="35"/>
    <x v="0"/>
  </r>
  <r>
    <s v="230836.008818/2015-9"/>
    <s v="14/2016"/>
    <s v="06/04/2016 A 05/04/2017"/>
    <x v="15"/>
    <s v="DEPARTAMENTO SIVICULTURA"/>
    <n v="40"/>
    <x v="56"/>
    <x v="0"/>
    <n v="1"/>
    <m/>
    <n v="5.07"/>
    <x v="4"/>
    <x v="13"/>
    <n v="1"/>
    <n v="5.07"/>
    <x v="8"/>
    <s v="Papeleta 226/2017"/>
    <n v="339030"/>
    <n v="35"/>
    <x v="0"/>
  </r>
  <r>
    <s v="230836.008818/2015-9"/>
    <s v="14/2016"/>
    <s v="06/04/2016 A 05/04/2017"/>
    <x v="15"/>
    <s v="DEPARTAMENTO SIVICULTURA"/>
    <n v="41"/>
    <x v="41"/>
    <x v="0"/>
    <n v="1"/>
    <m/>
    <n v="14"/>
    <x v="4"/>
    <x v="13"/>
    <n v="1"/>
    <n v="14"/>
    <x v="8"/>
    <s v="Papeleta 226/2017"/>
    <n v="339030"/>
    <n v="35"/>
    <x v="0"/>
  </r>
  <r>
    <s v="230836.008818/2015-9"/>
    <s v="14/2016"/>
    <s v="06/04/2016 A 05/04/2017"/>
    <x v="15"/>
    <s v="DEPARTAMENTO SIVICULTURA"/>
    <n v="80"/>
    <x v="60"/>
    <x v="0"/>
    <n v="3"/>
    <m/>
    <n v="10.96"/>
    <x v="4"/>
    <x v="13"/>
    <n v="3"/>
    <n v="32.880000000000003"/>
    <x v="8"/>
    <s v="Papeleta 226/2017"/>
    <n v="339030"/>
    <n v="35"/>
    <x v="0"/>
  </r>
  <r>
    <s v="230836.008818/2015-9"/>
    <s v="14/2016"/>
    <s v="06/04/2016 A 05/04/2017"/>
    <x v="15"/>
    <s v="DEPARTAMENTO SIVICULTURA"/>
    <n v="81"/>
    <x v="5"/>
    <x v="0"/>
    <n v="3"/>
    <m/>
    <n v="9.85"/>
    <x v="4"/>
    <x v="13"/>
    <n v="3"/>
    <n v="29.549999999999997"/>
    <x v="8"/>
    <s v="Papeleta 226/2017"/>
    <n v="339030"/>
    <n v="35"/>
    <x v="0"/>
  </r>
  <r>
    <s v="230836.008818/2015-9"/>
    <s v="14/2016"/>
    <s v="06/04/2016 A 05/04/2017"/>
    <x v="15"/>
    <s v="DEPARTAMENTO SIVICULTURA"/>
    <n v="85"/>
    <x v="86"/>
    <x v="0"/>
    <n v="10"/>
    <m/>
    <n v="3.93"/>
    <x v="4"/>
    <x v="13"/>
    <n v="10"/>
    <n v="39.300000000000004"/>
    <x v="8"/>
    <s v="Papeleta 226/2017"/>
    <n v="339030"/>
    <n v="35"/>
    <x v="0"/>
  </r>
  <r>
    <s v="230836.008818/2015-9"/>
    <s v="14/2016"/>
    <s v="06/04/2016 A 05/04/2017"/>
    <x v="15"/>
    <s v="DEPARTAMENTO SIVICULTURA"/>
    <n v="102"/>
    <x v="28"/>
    <x v="0"/>
    <n v="1"/>
    <m/>
    <n v="10"/>
    <x v="4"/>
    <x v="13"/>
    <n v="1"/>
    <n v="10"/>
    <x v="8"/>
    <s v="Papeleta 226/2017"/>
    <n v="339030"/>
    <n v="35"/>
    <x v="0"/>
  </r>
  <r>
    <s v="230836.008818/2015-9"/>
    <s v="14/2016"/>
    <s v="06/04/2016 A 05/04/2017"/>
    <x v="15"/>
    <s v="DEPARTAMENTO SIVICULTURA"/>
    <n v="116"/>
    <x v="68"/>
    <x v="0"/>
    <n v="6"/>
    <m/>
    <n v="4.84"/>
    <x v="4"/>
    <x v="13"/>
    <n v="6"/>
    <n v="29.04"/>
    <x v="8"/>
    <s v="Papeleta 226/2017"/>
    <n v="339030"/>
    <n v="35"/>
    <x v="0"/>
  </r>
  <r>
    <s v="230836.008818/2015-9"/>
    <s v="14/2016"/>
    <s v="06/04/2016 A 05/04/2017"/>
    <x v="15"/>
    <s v="DEPARTAMENTO SIVICULTURA"/>
    <n v="119"/>
    <x v="14"/>
    <x v="0"/>
    <n v="1"/>
    <m/>
    <n v="204.99"/>
    <x v="4"/>
    <x v="16"/>
    <n v="1"/>
    <n v="204.99"/>
    <x v="3"/>
    <s v="Papeleta 348/2017"/>
    <m/>
    <n v="35"/>
    <x v="0"/>
  </r>
  <r>
    <s v="230836.008818/2015-9"/>
    <s v="14/2016"/>
    <s v="06/04/2016 A 05/04/2017"/>
    <x v="15"/>
    <s v="DEPARTAMENTO SIVICULTURA"/>
    <n v="87"/>
    <x v="87"/>
    <x v="0"/>
    <n v="10"/>
    <m/>
    <n v="7.29"/>
    <x v="4"/>
    <x v="17"/>
    <n v="10"/>
    <n v="72.900000000000006"/>
    <x v="1"/>
    <s v="Papeleta 306/2017"/>
    <n v="339030"/>
    <n v="35"/>
    <x v="0"/>
  </r>
  <r>
    <s v="230836.008818/2015-9"/>
    <s v="14/2016"/>
    <s v="06/04/2016 A 05/04/2017"/>
    <x v="8"/>
    <s v="DEPARTAMENTO DE TECNOLOGIA DE ALIMENTOS"/>
    <n v="3"/>
    <x v="51"/>
    <x v="0"/>
    <n v="2"/>
    <m/>
    <n v="88"/>
    <x v="4"/>
    <x v="18"/>
    <n v="2"/>
    <n v="176"/>
    <x v="9"/>
    <n v="1096"/>
    <n v="339030"/>
    <n v="35"/>
    <x v="0"/>
  </r>
  <r>
    <s v="230836.008818/2015-9"/>
    <s v="14/2016"/>
    <s v="06/04/2016 A 05/04/2017"/>
    <x v="8"/>
    <s v="DEPARTAMENTO DE TECNOLOGIA DE ALIMENTOS"/>
    <n v="5"/>
    <x v="88"/>
    <x v="0"/>
    <n v="6"/>
    <m/>
    <n v="11"/>
    <x v="4"/>
    <x v="13"/>
    <n v="6"/>
    <n v="6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"/>
    <x v="52"/>
    <x v="0"/>
    <n v="4"/>
    <m/>
    <n v="15.55"/>
    <x v="4"/>
    <x v="13"/>
    <n v="4"/>
    <n v="62.2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4"/>
    <x v="19"/>
    <x v="0"/>
    <n v="8"/>
    <m/>
    <n v="10.98"/>
    <x v="4"/>
    <x v="13"/>
    <n v="8"/>
    <n v="87.84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29"/>
    <x v="54"/>
    <x v="0"/>
    <n v="100"/>
    <m/>
    <n v="7"/>
    <x v="4"/>
    <x v="13"/>
    <n v="100"/>
    <n v="700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23"/>
    <x v="89"/>
    <x v="0"/>
    <n v="125"/>
    <m/>
    <n v="4.74"/>
    <x v="4"/>
    <x v="13"/>
    <n v="103"/>
    <n v="488.22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25"/>
    <x v="75"/>
    <x v="0"/>
    <n v="82"/>
    <m/>
    <n v="5.42"/>
    <x v="4"/>
    <x v="13"/>
    <n v="46"/>
    <n v="249.32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27"/>
    <x v="90"/>
    <x v="0"/>
    <n v="122"/>
    <m/>
    <n v="10.199999999999999"/>
    <x v="4"/>
    <x v="13"/>
    <n v="119"/>
    <n v="1213.8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30"/>
    <x v="23"/>
    <x v="0"/>
    <n v="30"/>
    <m/>
    <n v="13.98"/>
    <x v="4"/>
    <x v="13"/>
    <n v="30"/>
    <n v="419.40000000000003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33"/>
    <x v="76"/>
    <x v="0"/>
    <n v="72"/>
    <m/>
    <n v="18.95"/>
    <x v="4"/>
    <x v="13"/>
    <n v="41"/>
    <n v="776.94999999999993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34"/>
    <x v="84"/>
    <x v="0"/>
    <n v="45"/>
    <m/>
    <n v="22.55"/>
    <x v="4"/>
    <x v="13"/>
    <n v="45"/>
    <n v="1014.7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35"/>
    <x v="85"/>
    <x v="0"/>
    <n v="62"/>
    <m/>
    <n v="29.55"/>
    <x v="6"/>
    <x v="15"/>
    <n v="55"/>
    <n v="1625.25"/>
    <x v="8"/>
    <s v="Papeleta 215/2017"/>
    <n v="339030"/>
    <n v="35"/>
    <x v="2"/>
  </r>
  <r>
    <s v="230836.008818/2015-9"/>
    <s v="14/2016"/>
    <s v="06/04/2016 A 05/04/2017"/>
    <x v="8"/>
    <s v="DEPARTAMENTO DE TECNOLOGIA DE ALIMENTOS"/>
    <n v="37"/>
    <x v="0"/>
    <x v="0"/>
    <n v="34"/>
    <m/>
    <n v="6.88"/>
    <x v="4"/>
    <x v="13"/>
    <n v="34"/>
    <n v="233.92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38"/>
    <x v="1"/>
    <x v="0"/>
    <n v="32"/>
    <m/>
    <n v="14.88"/>
    <x v="4"/>
    <x v="13"/>
    <n v="32"/>
    <n v="476.1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45"/>
    <x v="77"/>
    <x v="0"/>
    <n v="60"/>
    <m/>
    <n v="0.79"/>
    <x v="4"/>
    <x v="13"/>
    <n v="13"/>
    <n v="10.27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63"/>
    <x v="91"/>
    <x v="0"/>
    <n v="60"/>
    <m/>
    <n v="27.08"/>
    <x v="4"/>
    <x v="13"/>
    <n v="24"/>
    <n v="649.91999999999996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61"/>
    <x v="78"/>
    <x v="0"/>
    <n v="71"/>
    <m/>
    <n v="23.2"/>
    <x v="4"/>
    <x v="13"/>
    <n v="43"/>
    <n v="997.6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71"/>
    <x v="79"/>
    <x v="0"/>
    <n v="168"/>
    <m/>
    <n v="4.95"/>
    <x v="4"/>
    <x v="13"/>
    <n v="5"/>
    <n v="24.75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80"/>
    <x v="60"/>
    <x v="0"/>
    <n v="10"/>
    <m/>
    <n v="10.96"/>
    <x v="4"/>
    <x v="13"/>
    <n v="10"/>
    <n v="109.60000000000001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85"/>
    <x v="86"/>
    <x v="0"/>
    <n v="216"/>
    <m/>
    <n v="3.93"/>
    <x v="4"/>
    <x v="13"/>
    <n v="25"/>
    <n v="98.25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86"/>
    <x v="42"/>
    <x v="0"/>
    <n v="20"/>
    <m/>
    <n v="9"/>
    <x v="4"/>
    <x v="13"/>
    <n v="20"/>
    <n v="180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88"/>
    <x v="92"/>
    <x v="0"/>
    <n v="200"/>
    <m/>
    <n v="4.42"/>
    <x v="4"/>
    <x v="13"/>
    <n v="46"/>
    <n v="203.32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93"/>
    <x v="93"/>
    <x v="0"/>
    <n v="10"/>
    <m/>
    <n v="9.15"/>
    <x v="4"/>
    <x v="13"/>
    <n v="10"/>
    <n v="91.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54"/>
    <x v="6"/>
    <x v="0"/>
    <n v="200"/>
    <m/>
    <n v="3.99"/>
    <x v="4"/>
    <x v="13"/>
    <n v="200"/>
    <n v="798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95"/>
    <x v="44"/>
    <x v="0"/>
    <n v="20"/>
    <m/>
    <n v="3.23"/>
    <x v="4"/>
    <x v="13"/>
    <n v="20"/>
    <n v="64.599999999999994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55"/>
    <x v="94"/>
    <x v="0"/>
    <n v="100"/>
    <m/>
    <n v="4.2"/>
    <x v="4"/>
    <x v="13"/>
    <n v="68"/>
    <n v="285.60000000000002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56"/>
    <x v="7"/>
    <x v="0"/>
    <n v="20"/>
    <m/>
    <n v="7.2"/>
    <x v="4"/>
    <x v="13"/>
    <n v="20"/>
    <n v="144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57"/>
    <x v="8"/>
    <x v="0"/>
    <n v="100"/>
    <m/>
    <n v="5.09"/>
    <x v="4"/>
    <x v="13"/>
    <n v="41"/>
    <n v="208.69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108"/>
    <x v="45"/>
    <x v="0"/>
    <n v="20"/>
    <m/>
    <n v="6.49"/>
    <x v="4"/>
    <x v="13"/>
    <n v="20"/>
    <n v="129.80000000000001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03"/>
    <x v="46"/>
    <x v="0"/>
    <n v="50"/>
    <m/>
    <n v="4.12"/>
    <x v="4"/>
    <x v="13"/>
    <n v="50"/>
    <n v="20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06"/>
    <x v="62"/>
    <x v="0"/>
    <n v="66"/>
    <m/>
    <n v="7.5"/>
    <x v="4"/>
    <x v="13"/>
    <n v="66"/>
    <n v="49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04"/>
    <x v="9"/>
    <x v="0"/>
    <n v="100"/>
    <m/>
    <n v="2.15"/>
    <x v="4"/>
    <x v="13"/>
    <n v="100"/>
    <n v="21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99"/>
    <x v="29"/>
    <x v="0"/>
    <n v="20"/>
    <m/>
    <n v="8.1"/>
    <x v="4"/>
    <x v="13"/>
    <n v="20"/>
    <n v="162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91"/>
    <x v="65"/>
    <x v="0"/>
    <n v="30"/>
    <m/>
    <n v="4.1500000000000004"/>
    <x v="4"/>
    <x v="13"/>
    <n v="30"/>
    <n v="124.50000000000001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0"/>
    <x v="47"/>
    <x v="0"/>
    <n v="20"/>
    <m/>
    <n v="114.99"/>
    <x v="3"/>
    <x v="9"/>
    <m/>
    <n v="0"/>
    <x v="6"/>
    <m/>
    <m/>
    <m/>
    <x v="1"/>
  </r>
  <r>
    <s v="230836.008818/2015-9"/>
    <s v="14/2016"/>
    <s v="06/04/2016 A 05/04/2017"/>
    <x v="8"/>
    <s v="DEPARTAMENTO DE TECNOLOGIA DE ALIMENTOS"/>
    <n v="111"/>
    <x v="80"/>
    <x v="0"/>
    <n v="44"/>
    <m/>
    <n v="17.95"/>
    <x v="4"/>
    <x v="13"/>
    <n v="40"/>
    <n v="718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113"/>
    <x v="66"/>
    <x v="0"/>
    <n v="4"/>
    <m/>
    <n v="389"/>
    <x v="4"/>
    <x v="13"/>
    <n v="4"/>
    <n v="155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4"/>
    <x v="95"/>
    <x v="0"/>
    <n v="4"/>
    <m/>
    <n v="443.39"/>
    <x v="4"/>
    <x v="13"/>
    <n v="4"/>
    <n v="1773.5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5"/>
    <x v="67"/>
    <x v="0"/>
    <n v="9"/>
    <m/>
    <n v="389"/>
    <x v="4"/>
    <x v="13"/>
    <n v="9"/>
    <n v="3501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6"/>
    <x v="68"/>
    <x v="0"/>
    <n v="60"/>
    <m/>
    <n v="4.84"/>
    <x v="4"/>
    <x v="13"/>
    <n v="60"/>
    <n v="290.39999999999998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7"/>
    <x v="13"/>
    <x v="0"/>
    <n v="50"/>
    <m/>
    <n v="2.3199999999999998"/>
    <x v="4"/>
    <x v="13"/>
    <n v="50"/>
    <n v="115.99999999999999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0"/>
    <x v="15"/>
    <x v="0"/>
    <n v="24"/>
    <m/>
    <n v="2.2000000000000002"/>
    <x v="4"/>
    <x v="13"/>
    <n v="24"/>
    <n v="52.800000000000004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2"/>
    <x v="33"/>
    <x v="0"/>
    <n v="22"/>
    <m/>
    <n v="2.78"/>
    <x v="4"/>
    <x v="13"/>
    <n v="22"/>
    <n v="61.1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3"/>
    <x v="34"/>
    <x v="0"/>
    <n v="28"/>
    <m/>
    <n v="3.68"/>
    <x v="4"/>
    <x v="13"/>
    <n v="28"/>
    <n v="103.04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4"/>
    <x v="16"/>
    <x v="0"/>
    <n v="18"/>
    <m/>
    <n v="5.99"/>
    <x v="4"/>
    <x v="13"/>
    <n v="18"/>
    <n v="107.82000000000001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5"/>
    <x v="35"/>
    <x v="0"/>
    <n v="33"/>
    <m/>
    <n v="5.2"/>
    <x v="4"/>
    <x v="13"/>
    <n v="33"/>
    <n v="171.6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6"/>
    <x v="69"/>
    <x v="0"/>
    <n v="24"/>
    <m/>
    <n v="8.2899999999999991"/>
    <x v="4"/>
    <x v="13"/>
    <n v="24"/>
    <n v="198.95999999999998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28"/>
    <x v="70"/>
    <x v="0"/>
    <n v="30"/>
    <m/>
    <n v="117.77"/>
    <x v="4"/>
    <x v="13"/>
    <n v="30"/>
    <n v="3533.1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36"/>
    <x v="36"/>
    <x v="0"/>
    <n v="210"/>
    <m/>
    <n v="4.05"/>
    <x v="4"/>
    <x v="13"/>
    <n v="210"/>
    <n v="850.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37"/>
    <x v="37"/>
    <x v="0"/>
    <n v="15"/>
    <m/>
    <n v="6.3"/>
    <x v="4"/>
    <x v="13"/>
    <n v="15"/>
    <n v="94.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38"/>
    <x v="48"/>
    <x v="0"/>
    <n v="225"/>
    <m/>
    <n v="5.95"/>
    <x v="4"/>
    <x v="13"/>
    <n v="225"/>
    <n v="1338.75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39"/>
    <x v="96"/>
    <x v="0"/>
    <n v="49"/>
    <m/>
    <n v="15"/>
    <x v="4"/>
    <x v="13"/>
    <n v="39"/>
    <n v="585"/>
    <x v="8"/>
    <s v="Papeleta 226/2017"/>
    <n v="339030"/>
    <n v="35"/>
    <x v="3"/>
  </r>
  <r>
    <s v="230836.008818/2015-9"/>
    <s v="14/2016"/>
    <s v="06/04/2016 A 05/04/2017"/>
    <x v="8"/>
    <s v="DEPARTAMENTO DE TECNOLOGIA DE ALIMENTOS"/>
    <n v="150"/>
    <x v="97"/>
    <x v="0"/>
    <n v="4"/>
    <m/>
    <n v="22.55"/>
    <x v="4"/>
    <x v="13"/>
    <n v="4"/>
    <n v="90.2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55"/>
    <x v="73"/>
    <x v="0"/>
    <n v="9"/>
    <m/>
    <n v="15.97"/>
    <x v="4"/>
    <x v="13"/>
    <n v="9"/>
    <n v="143.73000000000002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"/>
    <x v="17"/>
    <x v="0"/>
    <n v="6"/>
    <m/>
    <n v="1020"/>
    <x v="6"/>
    <x v="13"/>
    <n v="6"/>
    <n v="6120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2"/>
    <x v="74"/>
    <x v="0"/>
    <n v="6"/>
    <m/>
    <n v="1800"/>
    <x v="4"/>
    <x v="13"/>
    <n v="6"/>
    <n v="10800"/>
    <x v="8"/>
    <s v="Papeleta 226/2017"/>
    <n v="339030"/>
    <n v="35"/>
    <x v="0"/>
  </r>
  <r>
    <s v="230836.008818/2015-9"/>
    <s v="14/2016"/>
    <s v="06/04/2016 A 05/04/2017"/>
    <x v="8"/>
    <s v="DEPARTAMENTO DE TECNOLOGIA DE ALIMENTOS"/>
    <n v="119"/>
    <x v="14"/>
    <x v="0"/>
    <n v="1"/>
    <m/>
    <n v="204.99"/>
    <x v="4"/>
    <x v="16"/>
    <n v="1"/>
    <n v="204.99"/>
    <x v="3"/>
    <s v="Papeleta 348/2017"/>
    <n v="339030"/>
    <n v="35"/>
    <x v="0"/>
  </r>
  <r>
    <s v="230836.008818/2015-9"/>
    <s v="14/2016"/>
    <s v="06/04/2016 A 05/04/2017"/>
    <x v="8"/>
    <s v="DEPARTAMENTO DE TECNOLOGIA DE ALIMENTOS"/>
    <n v="77"/>
    <x v="98"/>
    <x v="0"/>
    <n v="15"/>
    <m/>
    <n v="29.74"/>
    <x v="4"/>
    <x v="17"/>
    <n v="15"/>
    <n v="446.09999999999997"/>
    <x v="1"/>
    <s v="Papeleta 306/2017"/>
    <n v="339030"/>
    <n v="35"/>
    <x v="0"/>
  </r>
  <r>
    <s v="230836.008818/2015-9"/>
    <s v="14/2016"/>
    <s v="06/04/2016 A 05/04/2017"/>
    <x v="8"/>
    <s v="DEPARTAMENTO DE TECNOLOGIA DE ALIMENTOS"/>
    <n v="87"/>
    <x v="87"/>
    <x v="0"/>
    <n v="200"/>
    <m/>
    <n v="7.29"/>
    <x v="4"/>
    <x v="17"/>
    <n v="83"/>
    <n v="605.07000000000005"/>
    <x v="1"/>
    <s v="Papeleta 306/2017"/>
    <n v="339030"/>
    <n v="35"/>
    <x v="3"/>
  </r>
  <r>
    <s v="230836.008818/2015-9"/>
    <s v="14/2016"/>
    <s v="06/04/2016 A 05/04/2017"/>
    <x v="8"/>
    <s v="DEPARTAMENTO DE TECNOLOGIA DE ALIMENTOS"/>
    <n v="47"/>
    <x v="3"/>
    <x v="0"/>
    <n v="60"/>
    <m/>
    <n v="1.98"/>
    <x v="4"/>
    <x v="14"/>
    <n v="60"/>
    <n v="118.8"/>
    <x v="2"/>
    <n v="4648"/>
    <n v="339030"/>
    <n v="35"/>
    <x v="0"/>
  </r>
  <r>
    <s v="230836.008818/2015-9"/>
    <s v="14/2016"/>
    <s v="06/04/2016 A 05/04/2017"/>
    <x v="8"/>
    <s v="DEPARTAMENTO DE TECNOLOGIA DE ALIMENTOS"/>
    <n v="62"/>
    <x v="58"/>
    <x v="0"/>
    <n v="10"/>
    <m/>
    <n v="32"/>
    <x v="4"/>
    <x v="14"/>
    <n v="10"/>
    <n v="320"/>
    <x v="2"/>
    <n v="4648"/>
    <n v="339030"/>
    <n v="35"/>
    <x v="0"/>
  </r>
  <r>
    <s v="230836.008818/2015-9"/>
    <s v="14/2016"/>
    <s v="06/04/2016 A 05/04/2017"/>
    <x v="8"/>
    <s v="DEPARTAMENTO DE TECNOLOGIA DE ALIMENTOS"/>
    <n v="100"/>
    <x v="10"/>
    <x v="0"/>
    <n v="50"/>
    <m/>
    <n v="3.52"/>
    <x v="4"/>
    <x v="14"/>
    <n v="50"/>
    <n v="176"/>
    <x v="2"/>
    <n v="4648"/>
    <n v="339030"/>
    <n v="35"/>
    <x v="0"/>
  </r>
  <r>
    <s v="230836.008818/2015-9"/>
    <s v="14/2016"/>
    <s v="06/04/2016 A 05/04/2017"/>
    <x v="8"/>
    <s v="DEPARTAMENTO DE TECNOLOGIA DE ALIMENTOS"/>
    <n v="121"/>
    <x v="32"/>
    <x v="0"/>
    <n v="8"/>
    <m/>
    <n v="3.12"/>
    <x v="4"/>
    <x v="14"/>
    <n v="8"/>
    <n v="24.96"/>
    <x v="2"/>
    <n v="4648"/>
    <n v="339030"/>
    <n v="35"/>
    <x v="0"/>
  </r>
  <r>
    <s v="230836.008818/2015-9"/>
    <s v="14/2016"/>
    <s v="06/04/2016 A 05/04/2017"/>
    <x v="16"/>
    <s v="DEPTO. DE MICROBIOLOGIA E IMUNILOGIA VETERINÁRIA"/>
    <n v="58"/>
    <x v="4"/>
    <x v="0"/>
    <n v="5"/>
    <m/>
    <n v="24"/>
    <x v="4"/>
    <x v="13"/>
    <n v="5"/>
    <n v="120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45"/>
    <x v="77"/>
    <x v="0"/>
    <n v="30"/>
    <m/>
    <n v="0.79"/>
    <x v="4"/>
    <x v="13"/>
    <n v="15"/>
    <n v="11.850000000000001"/>
    <x v="8"/>
    <s v="Papeleta 226/2017"/>
    <n v="339030"/>
    <n v="35"/>
    <x v="3"/>
  </r>
  <r>
    <s v="230836.008818/2015-9"/>
    <s v="14/2016"/>
    <s v="06/04/2016 A 05/04/2017"/>
    <x v="16"/>
    <s v="DEPTO. DE MICROBIOLOGIA E IMUNILOGIA VETERINÁRIA"/>
    <n v="80"/>
    <x v="60"/>
    <x v="0"/>
    <n v="4"/>
    <m/>
    <n v="10.96"/>
    <x v="4"/>
    <x v="13"/>
    <n v="4"/>
    <n v="43.84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81"/>
    <x v="5"/>
    <x v="0"/>
    <n v="16"/>
    <m/>
    <n v="9.85"/>
    <x v="4"/>
    <x v="13"/>
    <n v="16"/>
    <n v="157.6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89"/>
    <x v="24"/>
    <x v="0"/>
    <n v="5"/>
    <m/>
    <n v="9.9"/>
    <x v="4"/>
    <x v="13"/>
    <n v="5"/>
    <n v="49.5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54"/>
    <x v="6"/>
    <x v="0"/>
    <n v="4"/>
    <m/>
    <n v="3.99"/>
    <x v="4"/>
    <x v="13"/>
    <n v="4"/>
    <n v="15.96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55"/>
    <x v="94"/>
    <x v="0"/>
    <n v="2"/>
    <m/>
    <n v="4.2"/>
    <x v="4"/>
    <x v="13"/>
    <n v="2"/>
    <n v="8.4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56"/>
    <x v="7"/>
    <x v="0"/>
    <n v="4"/>
    <m/>
    <n v="7.2"/>
    <x v="4"/>
    <x v="13"/>
    <n v="4"/>
    <n v="28.8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124"/>
    <x v="16"/>
    <x v="0"/>
    <n v="10"/>
    <m/>
    <n v="5.99"/>
    <x v="4"/>
    <x v="13"/>
    <n v="10"/>
    <n v="59.900000000000006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145"/>
    <x v="39"/>
    <x v="0"/>
    <n v="4"/>
    <m/>
    <n v="4.51"/>
    <x v="4"/>
    <x v="13"/>
    <n v="4"/>
    <n v="18.04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155"/>
    <x v="73"/>
    <x v="0"/>
    <n v="5"/>
    <m/>
    <n v="15.97"/>
    <x v="4"/>
    <x v="13"/>
    <n v="5"/>
    <n v="79.850000000000009"/>
    <x v="8"/>
    <s v="Papeleta 226/2017"/>
    <n v="339030"/>
    <n v="35"/>
    <x v="0"/>
  </r>
  <r>
    <s v="230836.008818/2015-9"/>
    <s v="14/2016"/>
    <s v="06/04/2016 A 05/04/2017"/>
    <x v="16"/>
    <s v="DEPTO. DE MICROBIOLOGIA E IMUNILOGIA VETERINÁRIA"/>
    <n v="119"/>
    <x v="14"/>
    <x v="0"/>
    <n v="2"/>
    <m/>
    <n v="204.99"/>
    <x v="4"/>
    <x v="16"/>
    <n v="2"/>
    <n v="409.98"/>
    <x v="3"/>
    <s v="Papeleta 348/2017"/>
    <n v="339030"/>
    <n v="35"/>
    <x v="0"/>
  </r>
  <r>
    <s v="230836.008818/2015-9"/>
    <s v="14/2016"/>
    <s v="06/04/2016 A 05/04/2017"/>
    <x v="16"/>
    <s v="DEPTO. DE MICROBIOLOGIA E IMUNILOGIA VETERINÁRIA"/>
    <n v="87"/>
    <x v="87"/>
    <x v="0"/>
    <n v="10"/>
    <m/>
    <n v="7.29"/>
    <x v="4"/>
    <x v="17"/>
    <n v="10"/>
    <n v="72.900000000000006"/>
    <x v="1"/>
    <s v="Papeleta 306/2017"/>
    <n v="339030"/>
    <n v="35"/>
    <x v="0"/>
  </r>
  <r>
    <s v="230836.008818/2015-9"/>
    <s v="14/2016"/>
    <s v="06/04/2016 A 05/04/2017"/>
    <x v="9"/>
    <s v="DEPTO DE PARASITOLOGIA ANIMAL"/>
    <n v="120"/>
    <x v="15"/>
    <x v="0"/>
    <n v="5"/>
    <m/>
    <n v="2.2000000000000002"/>
    <x v="4"/>
    <x v="13"/>
    <n v="5"/>
    <n v="11"/>
    <x v="8"/>
    <s v="Papeleta 226/2017"/>
    <n v="339030"/>
    <n v="35"/>
    <x v="0"/>
  </r>
  <r>
    <s v="230836.008818/2015-9"/>
    <s v="14/2016"/>
    <s v="06/04/2016 A 05/04/2017"/>
    <x v="9"/>
    <s v="DEPTO DE PARASITOLOGIA ANIMAL"/>
    <n v="121"/>
    <x v="32"/>
    <x v="0"/>
    <n v="5"/>
    <m/>
    <n v="3.12"/>
    <x v="4"/>
    <x v="14"/>
    <n v="5"/>
    <n v="15.600000000000001"/>
    <x v="2"/>
    <n v="4648"/>
    <n v="339030"/>
    <n v="35"/>
    <x v="0"/>
  </r>
  <r>
    <s v="230836.008818/2015-9"/>
    <s v="14/2016"/>
    <s v="06/04/2016 A 05/04/2017"/>
    <x v="9"/>
    <s v="DEPTO DE PARASITOLOGIA ANIMAL"/>
    <n v="122"/>
    <x v="33"/>
    <x v="0"/>
    <n v="5"/>
    <m/>
    <n v="2.78"/>
    <x v="4"/>
    <x v="13"/>
    <n v="5"/>
    <n v="13.899999999999999"/>
    <x v="8"/>
    <s v="Papeleta 226/2017"/>
    <n v="339030"/>
    <n v="35"/>
    <x v="0"/>
  </r>
  <r>
    <s v="230836.008818/2015-9"/>
    <s v="14/2016"/>
    <s v="06/04/2016 A 05/04/2017"/>
    <x v="9"/>
    <s v="DEPTO DE PARASITOLOGIA ANIMAL"/>
    <n v="123"/>
    <x v="34"/>
    <x v="0"/>
    <n v="5"/>
    <m/>
    <n v="3.68"/>
    <x v="4"/>
    <x v="13"/>
    <n v="5"/>
    <n v="18.400000000000002"/>
    <x v="8"/>
    <s v="Papeleta 226/2017"/>
    <n v="339030"/>
    <n v="35"/>
    <x v="0"/>
  </r>
  <r>
    <s v="230836.008818/2015-9"/>
    <s v="14/2016"/>
    <s v="06/04/2016 A 05/04/2017"/>
    <x v="9"/>
    <s v="DEPTO DE PARASITOLOGIA ANIMAL"/>
    <n v="126"/>
    <x v="69"/>
    <x v="0"/>
    <n v="5"/>
    <m/>
    <n v="8.2899999999999991"/>
    <x v="4"/>
    <x v="13"/>
    <n v="5"/>
    <n v="41.449999999999996"/>
    <x v="8"/>
    <s v="Papeleta 226/2017"/>
    <n v="339030"/>
    <n v="35"/>
    <x v="0"/>
  </r>
  <r>
    <s v="230836.008818/2015-9"/>
    <s v="14/2016"/>
    <s v="06/04/2016 A 05/04/2017"/>
    <x v="10"/>
    <s v="INSTITUTO DE ZOOTECNIA"/>
    <n v="33"/>
    <x v="76"/>
    <x v="0"/>
    <n v="2"/>
    <m/>
    <n v="18.95"/>
    <x v="4"/>
    <x v="13"/>
    <n v="2"/>
    <n v="37.9"/>
    <x v="8"/>
    <s v="Papeleta 226/2017"/>
    <n v="339030"/>
    <n v="35"/>
    <x v="0"/>
  </r>
  <r>
    <s v="230836.008818/2015-9"/>
    <s v="14/2016"/>
    <s v="06/04/2016 A 05/04/2017"/>
    <x v="10"/>
    <s v="INSTITUTO DE ZOOTECNIA"/>
    <n v="34"/>
    <x v="84"/>
    <x v="0"/>
    <n v="2"/>
    <m/>
    <n v="22.55"/>
    <x v="4"/>
    <x v="13"/>
    <n v="2"/>
    <n v="45.1"/>
    <x v="8"/>
    <s v="Papeleta 226/2017"/>
    <n v="339030"/>
    <n v="35"/>
    <x v="0"/>
  </r>
  <r>
    <s v="230836.008818/2015-9"/>
    <s v="14/2016"/>
    <s v="06/04/2016 A 05/04/2017"/>
    <x v="10"/>
    <s v="INSTITUTO DE ZOOTECNIA"/>
    <n v="35"/>
    <x v="85"/>
    <x v="0"/>
    <n v="2"/>
    <m/>
    <n v="29.55"/>
    <x v="6"/>
    <x v="15"/>
    <n v="2"/>
    <n v="59.1"/>
    <x v="8"/>
    <s v="Papeleta 215/2017"/>
    <n v="339030"/>
    <n v="35"/>
    <x v="0"/>
  </r>
  <r>
    <s v="230836.008818/2015-9"/>
    <s v="14/2016"/>
    <s v="06/04/2016 A 05/04/2017"/>
    <x v="10"/>
    <s v="INSTITUTO DE ZOOTECNIA"/>
    <n v="37"/>
    <x v="0"/>
    <x v="0"/>
    <n v="2"/>
    <m/>
    <n v="6.88"/>
    <x v="4"/>
    <x v="13"/>
    <n v="2"/>
    <n v="13.76"/>
    <x v="8"/>
    <s v="Papeleta 226/2017"/>
    <n v="3390"/>
    <n v="35"/>
    <x v="0"/>
  </r>
  <r>
    <s v="230836.008818/2015-9"/>
    <s v="14/2016"/>
    <s v="06/04/2016 A 05/04/2017"/>
    <x v="10"/>
    <s v="INSTITUTO DE ZOOTECNIA"/>
    <n v="71"/>
    <x v="79"/>
    <x v="0"/>
    <n v="5"/>
    <m/>
    <n v="4.95"/>
    <x v="4"/>
    <x v="13"/>
    <n v="5"/>
    <n v="24.75"/>
    <x v="8"/>
    <s v="Papeleta 226/2017"/>
    <n v="339030"/>
    <n v="35"/>
    <x v="3"/>
  </r>
  <r>
    <s v="230836.008818/2015-9"/>
    <s v="14/2016"/>
    <s v="06/04/2016 A 05/04/2017"/>
    <x v="10"/>
    <s v="INSTITUTO DE ZOOTECNIA"/>
    <n v="110"/>
    <x v="47"/>
    <x v="0"/>
    <n v="2"/>
    <m/>
    <n v="114.99"/>
    <x v="3"/>
    <x v="9"/>
    <m/>
    <n v="0"/>
    <x v="6"/>
    <m/>
    <m/>
    <m/>
    <x v="1"/>
  </r>
  <r>
    <s v="230836.008818/2015-9"/>
    <s v="14/2016"/>
    <s v="06/04/2016 A 05/04/2017"/>
    <x v="10"/>
    <s v="INSTITUTO DE ZOOTECNIA"/>
    <n v="112"/>
    <x v="18"/>
    <x v="0"/>
    <n v="2"/>
    <m/>
    <n v="335"/>
    <x v="4"/>
    <x v="13"/>
    <n v="2"/>
    <n v="670"/>
    <x v="8"/>
    <s v="Papeleta 226/2017"/>
    <n v="339030"/>
    <n v="35"/>
    <x v="0"/>
  </r>
  <r>
    <s v="230836.008818/2015-9"/>
    <s v="14/2016"/>
    <s v="06/04/2016 A 05/04/2017"/>
    <x v="10"/>
    <s v="INSTITUTO DE ZOOTECNIA"/>
    <n v="116"/>
    <x v="68"/>
    <x v="0"/>
    <n v="100"/>
    <m/>
    <n v="4.84"/>
    <x v="4"/>
    <x v="13"/>
    <n v="100"/>
    <n v="484"/>
    <x v="8"/>
    <s v="Papeleta 226/2017"/>
    <n v="339030"/>
    <n v="35"/>
    <x v="0"/>
  </r>
  <r>
    <s v="230836.008818/2015-9"/>
    <s v="14/2016"/>
    <s v="06/04/2016 A 05/04/2017"/>
    <x v="10"/>
    <s v="INSTITUTO DE ZOOTECNIA"/>
    <n v="120"/>
    <x v="15"/>
    <x v="0"/>
    <n v="2"/>
    <m/>
    <n v="2.2000000000000002"/>
    <x v="4"/>
    <x v="13"/>
    <n v="2"/>
    <n v="4.4000000000000004"/>
    <x v="8"/>
    <s v="Papeleta 226/2017"/>
    <n v="339030"/>
    <n v="35"/>
    <x v="0"/>
  </r>
  <r>
    <s v="230836.008818/2015-9"/>
    <s v="14/2016"/>
    <s v="06/04/2016 A 05/04/2017"/>
    <x v="10"/>
    <s v="INSTITUTO DE ZOOTECNIA"/>
    <n v="128"/>
    <x v="70"/>
    <x v="0"/>
    <n v="6"/>
    <m/>
    <n v="117.77"/>
    <x v="4"/>
    <x v="13"/>
    <n v="6"/>
    <n v="706.62"/>
    <x v="8"/>
    <s v="Papeleta 226/2017"/>
    <n v="339030"/>
    <n v="35"/>
    <x v="0"/>
  </r>
  <r>
    <s v="230836.008818/2015-9"/>
    <s v="14/2016"/>
    <s v="06/04/2016 A 05/04/2017"/>
    <x v="10"/>
    <s v="INSTITUTO DE ZOOTECNIA"/>
    <n v="130"/>
    <x v="99"/>
    <x v="0"/>
    <n v="100"/>
    <m/>
    <n v="1.48"/>
    <x v="4"/>
    <x v="13"/>
    <n v="60"/>
    <n v="88.8"/>
    <x v="8"/>
    <s v="Papeleta 226/2017"/>
    <n v="339030"/>
    <n v="35"/>
    <x v="3"/>
  </r>
  <r>
    <s v="230836.008818/2015-9"/>
    <s v="14/2016"/>
    <s v="06/04/2016 A 05/04/2017"/>
    <x v="10"/>
    <s v="INSTITUTO DE ZOOTECNIA"/>
    <n v="38"/>
    <x v="1"/>
    <x v="0"/>
    <n v="2"/>
    <m/>
    <n v="14.88"/>
    <x v="4"/>
    <x v="13"/>
    <n v="2"/>
    <n v="29.76"/>
    <x v="8"/>
    <s v="Papeleta 226/2017"/>
    <n v="339030"/>
    <n v="35"/>
    <x v="0"/>
  </r>
  <r>
    <s v="230836.008818/2015-9"/>
    <s v="14/2016"/>
    <s v="06/04/2016 A 05/04/2017"/>
    <x v="10"/>
    <s v="INSTITUTO DE ZOOTECNIA"/>
    <n v="40"/>
    <x v="56"/>
    <x v="0"/>
    <n v="2"/>
    <m/>
    <n v="5.07"/>
    <x v="4"/>
    <x v="13"/>
    <n v="2"/>
    <n v="10.14"/>
    <x v="8"/>
    <s v="Papeleta 226/2017"/>
    <n v="339030"/>
    <n v="35"/>
    <x v="0"/>
  </r>
  <r>
    <s v="230836.008818/2015-9"/>
    <s v="14/2016"/>
    <s v="06/04/2016 A 05/04/2017"/>
    <x v="10"/>
    <s v="INSTITUTO DE ZOOTECNIA"/>
    <n v="41"/>
    <x v="41"/>
    <x v="0"/>
    <n v="2"/>
    <m/>
    <n v="14"/>
    <x v="4"/>
    <x v="13"/>
    <n v="2"/>
    <n v="28"/>
    <x v="8"/>
    <s v="Papeleta 226/2017"/>
    <n v="339030"/>
    <n v="35"/>
    <x v="0"/>
  </r>
  <r>
    <s v="230836.008818/2015-9"/>
    <s v="14/2016"/>
    <s v="06/04/2016 A 05/04/2017"/>
    <x v="10"/>
    <s v="INSTITUTO DE ZOOTECNIA"/>
    <n v="119"/>
    <x v="14"/>
    <x v="0"/>
    <n v="2"/>
    <m/>
    <n v="204.99"/>
    <x v="4"/>
    <x v="16"/>
    <n v="2"/>
    <n v="409.98"/>
    <x v="3"/>
    <s v="Papeleta 348/2017"/>
    <n v="339030"/>
    <n v="35"/>
    <x v="0"/>
  </r>
  <r>
    <s v="23083.008817/2015-43"/>
    <s v="025/2016"/>
    <s v="13/07/2016 a 12/07/2016"/>
    <x v="0"/>
    <s v="CTUR"/>
    <n v="164"/>
    <x v="100"/>
    <x v="0"/>
    <n v="200"/>
    <m/>
    <n v="0.28000000000000003"/>
    <x v="7"/>
    <x v="19"/>
    <n v="200"/>
    <n v="56.000000000000007"/>
    <x v="10"/>
    <s v="Papeleta 326/2017"/>
    <n v="339030"/>
    <n v="35"/>
    <x v="0"/>
  </r>
  <r>
    <s v="23083.008817/2015-43"/>
    <s v="025/2016"/>
    <s v="13/07/2016 a 12/07/2016"/>
    <x v="0"/>
    <s v="CTUR"/>
    <n v="13"/>
    <x v="101"/>
    <x v="0"/>
    <n v="1"/>
    <m/>
    <n v="296.99"/>
    <x v="7"/>
    <x v="19"/>
    <n v="1"/>
    <n v="296.99"/>
    <x v="10"/>
    <s v="Papeleta 326/2017"/>
    <n v="339030"/>
    <n v="35"/>
    <x v="0"/>
  </r>
  <r>
    <s v="23083.008817/2015-43"/>
    <s v="025/2016"/>
    <s v="13/07/2016 a 12/07/2016"/>
    <x v="0"/>
    <s v="CTUR"/>
    <n v="21"/>
    <x v="102"/>
    <x v="0"/>
    <n v="1"/>
    <m/>
    <n v="113.5"/>
    <x v="7"/>
    <x v="20"/>
    <n v="1"/>
    <n v="113.5"/>
    <x v="11"/>
    <s v="Papeleta 284/2017"/>
    <n v="339030"/>
    <n v="35"/>
    <x v="0"/>
  </r>
  <r>
    <s v="23083.008817/2015-43"/>
    <s v="025/2016"/>
    <s v="13/07/2016 a 12/07/2016"/>
    <x v="0"/>
    <s v="CTUR"/>
    <n v="43"/>
    <x v="103"/>
    <x v="0"/>
    <n v="10"/>
    <m/>
    <n v="1.82"/>
    <x v="7"/>
    <x v="21"/>
    <n v="10"/>
    <n v="18.2"/>
    <x v="12"/>
    <s v="Papeleta 297/2017"/>
    <n v="339030"/>
    <n v="35"/>
    <x v="0"/>
  </r>
  <r>
    <s v="23083.008817/2015-43"/>
    <s v="025/2016"/>
    <s v="13/07/2016 a 12/07/2016"/>
    <x v="0"/>
    <s v="CTUR"/>
    <n v="47"/>
    <x v="104"/>
    <x v="0"/>
    <n v="10"/>
    <m/>
    <n v="3.95"/>
    <x v="7"/>
    <x v="21"/>
    <n v="10"/>
    <n v="39.5"/>
    <x v="12"/>
    <s v="Papeleta 297/2017"/>
    <n v="339030"/>
    <n v="35"/>
    <x v="0"/>
  </r>
  <r>
    <s v="23083.008817/2015-43"/>
    <s v="025/2016"/>
    <s v="13/07/2016 a 12/07/2016"/>
    <x v="0"/>
    <s v="CTUR"/>
    <n v="46"/>
    <x v="105"/>
    <x v="0"/>
    <n v="15"/>
    <m/>
    <n v="1.67"/>
    <x v="7"/>
    <x v="21"/>
    <n v="15"/>
    <n v="25.049999999999997"/>
    <x v="12"/>
    <s v="Papeleta 297/2017"/>
    <n v="339030"/>
    <n v="35"/>
    <x v="0"/>
  </r>
  <r>
    <s v="23083.008817/2015-43"/>
    <s v="025/2016"/>
    <s v="13/07/2016 a 12/07/2016"/>
    <x v="0"/>
    <s v="CTUR"/>
    <n v="48"/>
    <x v="106"/>
    <x v="0"/>
    <n v="10"/>
    <m/>
    <n v="2.29"/>
    <x v="7"/>
    <x v="21"/>
    <n v="10"/>
    <n v="22.9"/>
    <x v="12"/>
    <s v="Papeleta 297/2017"/>
    <n v="339030"/>
    <n v="35"/>
    <x v="0"/>
  </r>
  <r>
    <s v="23083.008817/2015-43"/>
    <s v="025/2016"/>
    <s v="13/07/2016 a 12/07/2016"/>
    <x v="0"/>
    <s v="CTUR"/>
    <n v="65"/>
    <x v="107"/>
    <x v="0"/>
    <n v="15"/>
    <m/>
    <n v="4.17"/>
    <x v="7"/>
    <x v="22"/>
    <n v="15"/>
    <n v="62.55"/>
    <x v="13"/>
    <s v="Papeleta 323/2017"/>
    <n v="339030"/>
    <n v="35"/>
    <x v="0"/>
  </r>
  <r>
    <s v="23083.008817/2015-43"/>
    <s v="025/2016"/>
    <s v="13/07/2016 a 12/07/2016"/>
    <x v="0"/>
    <s v="CTUR"/>
    <n v="169"/>
    <x v="108"/>
    <x v="0"/>
    <n v="1"/>
    <m/>
    <n v="25"/>
    <x v="7"/>
    <x v="23"/>
    <n v="1"/>
    <n v="25"/>
    <x v="14"/>
    <s v="Papeleta 357/2017"/>
    <n v="339030"/>
    <n v="35"/>
    <x v="0"/>
  </r>
  <r>
    <s v="23083.008817/2015-43"/>
    <s v="025/2016"/>
    <s v="13/07/2016 a 12/07/2016"/>
    <x v="0"/>
    <s v="CTUR"/>
    <n v="125"/>
    <x v="109"/>
    <x v="0"/>
    <n v="1"/>
    <m/>
    <n v="88.53"/>
    <x v="7"/>
    <x v="22"/>
    <n v="1"/>
    <n v="88.53"/>
    <x v="13"/>
    <s v="Papeleta 323/2017"/>
    <n v="339030"/>
    <n v="35"/>
    <x v="0"/>
  </r>
  <r>
    <s v="23083.008817/2015-43"/>
    <s v="025/2016"/>
    <s v="13/07/2016 a 12/07/2016"/>
    <x v="0"/>
    <s v="CTUR"/>
    <n v="122"/>
    <x v="110"/>
    <x v="0"/>
    <n v="5"/>
    <m/>
    <n v="21.65"/>
    <x v="7"/>
    <x v="22"/>
    <n v="5"/>
    <n v="108.25"/>
    <x v="13"/>
    <s v="Papeleta 323/2017"/>
    <n v="339030"/>
    <n v="35"/>
    <x v="0"/>
  </r>
  <r>
    <s v="23083.008817/2015-43"/>
    <s v="025/2016"/>
    <s v="13/07/2016 a 12/07/2016"/>
    <x v="0"/>
    <s v="CTUR"/>
    <n v="128"/>
    <x v="111"/>
    <x v="0"/>
    <n v="5"/>
    <m/>
    <n v="34.19"/>
    <x v="7"/>
    <x v="24"/>
    <n v="5"/>
    <n v="170.95"/>
    <x v="12"/>
    <s v="Papeleta 298/2017"/>
    <n v="339030"/>
    <n v="35"/>
    <x v="0"/>
  </r>
  <r>
    <s v="23083.008817/2015-43"/>
    <s v="025/2016"/>
    <s v="13/07/2016 a 12/07/2016"/>
    <x v="0"/>
    <s v="CTUR"/>
    <n v="141"/>
    <x v="112"/>
    <x v="0"/>
    <n v="1"/>
    <m/>
    <n v="7.0000000000000007E-2"/>
    <x v="7"/>
    <x v="25"/>
    <n v="1"/>
    <n v="7.0000000000000007E-2"/>
    <x v="6"/>
    <m/>
    <n v="339030"/>
    <n v="35"/>
    <x v="4"/>
  </r>
  <r>
    <s v="23083.008817/2015-43"/>
    <s v="025/2016"/>
    <s v="13/07/2016 a 12/07/2016"/>
    <x v="17"/>
    <s v="DEPARTAMENTO DE BOTÂNICA"/>
    <n v="65"/>
    <x v="107"/>
    <x v="0"/>
    <n v="1"/>
    <m/>
    <n v="4.17"/>
    <x v="7"/>
    <x v="26"/>
    <n v="1"/>
    <n v="4.17"/>
    <x v="13"/>
    <s v="Papeleta 323/2017"/>
    <n v="339030"/>
    <n v="35"/>
    <x v="0"/>
  </r>
  <r>
    <s v="23083.008817/2015-43"/>
    <s v="025/2016"/>
    <s v="13/07/2016 a 12/07/2016"/>
    <x v="17"/>
    <s v="DEPARTAMENTO DE BOTÂNICA"/>
    <n v="67"/>
    <x v="113"/>
    <x v="0"/>
    <n v="1"/>
    <m/>
    <n v="4.41"/>
    <x v="7"/>
    <x v="26"/>
    <n v="1"/>
    <n v="4.41"/>
    <x v="13"/>
    <s v="Papeleta 323/2017"/>
    <n v="339030"/>
    <n v="35"/>
    <x v="0"/>
  </r>
  <r>
    <s v="23083.008817/2015-43"/>
    <s v="025/2016"/>
    <s v="13/07/2016 a 12/07/2016"/>
    <x v="17"/>
    <s v="DEPARTAMENTO DE BOTÂNICA"/>
    <n v="69"/>
    <x v="114"/>
    <x v="0"/>
    <n v="1"/>
    <m/>
    <n v="4.32"/>
    <x v="7"/>
    <x v="26"/>
    <n v="1"/>
    <n v="4.32"/>
    <x v="13"/>
    <s v="Papeleta 323/2017"/>
    <n v="339030"/>
    <n v="35"/>
    <x v="0"/>
  </r>
  <r>
    <s v="23083.008817/2015-43"/>
    <s v="025/2016"/>
    <s v="13/07/2016 a 12/07/2016"/>
    <x v="2"/>
    <s v="CAMPUS DR. LEONEL MIRANDA"/>
    <n v="13"/>
    <x v="101"/>
    <x v="0"/>
    <n v="1"/>
    <m/>
    <n v="296.99"/>
    <x v="7"/>
    <x v="27"/>
    <n v="1"/>
    <n v="296.99"/>
    <x v="10"/>
    <s v="Papeleta 327/2017"/>
    <n v="339030"/>
    <n v="35"/>
    <x v="0"/>
  </r>
  <r>
    <s v="23083.008817/2015-43"/>
    <s v="025/2016"/>
    <s v="13/07/2016 a 12/07/2016"/>
    <x v="2"/>
    <s v="CAMPUS DR. LEONEL MIRANDA"/>
    <n v="44"/>
    <x v="103"/>
    <x v="0"/>
    <n v="2"/>
    <m/>
    <n v="3.73"/>
    <x v="7"/>
    <x v="28"/>
    <n v="2"/>
    <n v="7.46"/>
    <x v="12"/>
    <s v="Papeleta 297/2017"/>
    <n v="339030"/>
    <n v="35"/>
    <x v="0"/>
  </r>
  <r>
    <s v="23083.008817/2015-43"/>
    <s v="025/2016"/>
    <s v="13/07/2016 a 12/07/2016"/>
    <x v="2"/>
    <s v="CAMPUS DR. LEONEL MIRANDA"/>
    <n v="47"/>
    <x v="104"/>
    <x v="0"/>
    <n v="4"/>
    <m/>
    <n v="3.95"/>
    <x v="7"/>
    <x v="28"/>
    <n v="4"/>
    <n v="15.8"/>
    <x v="12"/>
    <s v="Papeleta 297/2017"/>
    <n v="339030"/>
    <n v="35"/>
    <x v="0"/>
  </r>
  <r>
    <s v="23083.008817/2015-43"/>
    <s v="025/2016"/>
    <s v="13/07/2016 a 12/07/2016"/>
    <x v="2"/>
    <s v="CAMPUS DR. LEONEL MIRANDA"/>
    <n v="48"/>
    <x v="106"/>
    <x v="0"/>
    <n v="6"/>
    <m/>
    <n v="2.29"/>
    <x v="7"/>
    <x v="28"/>
    <n v="6"/>
    <n v="13.74"/>
    <x v="12"/>
    <s v="Papeleta 297/2017"/>
    <n v="339030"/>
    <n v="35"/>
    <x v="0"/>
  </r>
  <r>
    <s v="23083.008817/2015-43"/>
    <s v="025/2016"/>
    <s v="13/07/2016 a 12/07/2016"/>
    <x v="2"/>
    <s v="CAMPUS DR. LEONEL MIRANDA"/>
    <n v="50"/>
    <x v="115"/>
    <x v="0"/>
    <n v="4"/>
    <m/>
    <n v="2.17"/>
    <x v="7"/>
    <x v="28"/>
    <n v="4"/>
    <n v="457.49"/>
    <x v="12"/>
    <s v="Papeleta 297/2017"/>
    <n v="339030"/>
    <n v="35"/>
    <x v="0"/>
  </r>
  <r>
    <s v="23083.008817/2015-43"/>
    <s v="025/2016"/>
    <s v="13/07/2016 a 12/07/2016"/>
    <x v="2"/>
    <s v="CAMPUS DR. LEONEL MIRANDA"/>
    <n v="65"/>
    <x v="107"/>
    <x v="0"/>
    <n v="5"/>
    <m/>
    <n v="4.17"/>
    <x v="7"/>
    <x v="26"/>
    <n v="5"/>
    <n v="20.85"/>
    <x v="13"/>
    <s v="Papeleta 323/2017"/>
    <n v="339030"/>
    <n v="35"/>
    <x v="0"/>
  </r>
  <r>
    <s v="23083.008817/2015-43"/>
    <s v="025/2016"/>
    <s v="13/07/2016 a 12/07/2016"/>
    <x v="2"/>
    <s v="CAMPUS DR. LEONEL MIRANDA"/>
    <n v="67"/>
    <x v="113"/>
    <x v="0"/>
    <n v="5"/>
    <m/>
    <n v="4.41"/>
    <x v="7"/>
    <x v="26"/>
    <n v="5"/>
    <n v="22.05"/>
    <x v="13"/>
    <s v="Papeleta 323/2017"/>
    <n v="339030"/>
    <n v="35"/>
    <x v="0"/>
  </r>
  <r>
    <s v="23083.008817/2015-43"/>
    <s v="025/2016"/>
    <s v="13/07/2016 a 12/07/2016"/>
    <x v="2"/>
    <s v="CAMPUS DR. LEONEL MIRANDA"/>
    <n v="122"/>
    <x v="110"/>
    <x v="0"/>
    <n v="3"/>
    <m/>
    <n v="21.65"/>
    <x v="7"/>
    <x v="26"/>
    <n v="3"/>
    <n v="64.949999999999989"/>
    <x v="13"/>
    <s v="Papeleta 323/2017"/>
    <n v="339030"/>
    <n v="35"/>
    <x v="0"/>
  </r>
  <r>
    <s v="23083.008817/2015-43"/>
    <s v="025/2016"/>
    <s v="13/07/2016 a 12/07/2016"/>
    <x v="2"/>
    <s v="CAMPUS DR. LEONEL MIRANDA"/>
    <n v="151"/>
    <x v="116"/>
    <x v="0"/>
    <n v="10"/>
    <m/>
    <n v="3.99"/>
    <x v="7"/>
    <x v="26"/>
    <n v="10"/>
    <n v="39.900000000000006"/>
    <x v="13"/>
    <s v="Papeleta 323/2017"/>
    <n v="339030"/>
    <n v="35"/>
    <x v="0"/>
  </r>
  <r>
    <s v="23083.008817/2015-43"/>
    <s v="025/2016"/>
    <s v="13/07/2016 a 12/07/2016"/>
    <x v="3"/>
    <s v="DEPARTAMENTO DE BIOLOGIA ANIMAL"/>
    <n v="164"/>
    <x v="100"/>
    <x v="0"/>
    <n v="1"/>
    <m/>
    <n v="0.28000000000000003"/>
    <x v="7"/>
    <x v="27"/>
    <n v="1"/>
    <n v="0.28000000000000003"/>
    <x v="10"/>
    <s v="Papeleta 327/2017"/>
    <n v="339030"/>
    <n v="35"/>
    <x v="0"/>
  </r>
  <r>
    <s v="23083.008817/2015-43"/>
    <s v="025/2016"/>
    <s v="13/07/2016 a 12/07/2016"/>
    <x v="3"/>
    <s v="DEPARTAMENTO DE BIOLOGIA ANIMAL"/>
    <n v="4"/>
    <x v="117"/>
    <x v="0"/>
    <n v="1"/>
    <m/>
    <n v="689"/>
    <x v="7"/>
    <x v="29"/>
    <n v="1"/>
    <n v="689"/>
    <x v="15"/>
    <m/>
    <n v="339030"/>
    <n v="35"/>
    <x v="5"/>
  </r>
  <r>
    <s v="23083.008817/2015-43"/>
    <s v="025/2016"/>
    <s v="13/07/2016 a 12/07/2016"/>
    <x v="3"/>
    <s v="DEPARTAMENTO DE BIOLOGIA ANIMAL"/>
    <n v="13"/>
    <x v="101"/>
    <x v="0"/>
    <n v="1"/>
    <m/>
    <n v="296.99"/>
    <x v="7"/>
    <x v="27"/>
    <n v="1"/>
    <n v="296.99"/>
    <x v="10"/>
    <s v="Papeleta 327/2017"/>
    <n v="339030"/>
    <n v="35"/>
    <x v="0"/>
  </r>
  <r>
    <s v="23083.008817/2015-43"/>
    <s v="025/2016"/>
    <s v="13/07/2016 a 12/07/2016"/>
    <x v="3"/>
    <s v="DEPARTAMENTO DE BIOLOGIA ANIMAL"/>
    <n v="22"/>
    <x v="118"/>
    <x v="0"/>
    <n v="2"/>
    <m/>
    <n v="115"/>
    <x v="7"/>
    <x v="30"/>
    <n v="2"/>
    <n v="230"/>
    <x v="16"/>
    <s v="Papeleta 324/2017"/>
    <n v="339030"/>
    <n v="35"/>
    <x v="0"/>
  </r>
  <r>
    <s v="23083.008817/2015-43"/>
    <s v="025/2016"/>
    <s v="13/07/2016 a 12/07/2016"/>
    <x v="3"/>
    <s v="DEPARTAMENTO DE BIOLOGIA ANIMAL"/>
    <n v="44"/>
    <x v="103"/>
    <x v="0"/>
    <n v="1"/>
    <m/>
    <n v="3.73"/>
    <x v="7"/>
    <x v="28"/>
    <n v="1"/>
    <n v="3.73"/>
    <x v="12"/>
    <s v="Papeleta 297/2017"/>
    <n v="339030"/>
    <n v="35"/>
    <x v="0"/>
  </r>
  <r>
    <s v="23083.008817/2015-43"/>
    <s v="025/2016"/>
    <s v="13/07/2016 a 12/07/2016"/>
    <x v="3"/>
    <s v="DEPARTAMENTO DE BIOLOGIA ANIMAL"/>
    <n v="128"/>
    <x v="111"/>
    <x v="0"/>
    <n v="2"/>
    <m/>
    <n v="34.19"/>
    <x v="7"/>
    <x v="31"/>
    <n v="2"/>
    <n v="68.38"/>
    <x v="12"/>
    <s v="Papeleta 298/2017"/>
    <n v="339030"/>
    <n v="35"/>
    <x v="0"/>
  </r>
  <r>
    <s v="23083.008817/2015-43"/>
    <s v="025/2016"/>
    <s v="13/07/2016 a 12/07/2016"/>
    <x v="3"/>
    <s v="DEPARTAMENTO DE BIOLOGIA ANIMAL"/>
    <n v="150"/>
    <x v="119"/>
    <x v="0"/>
    <n v="1"/>
    <m/>
    <n v="6.5"/>
    <x v="7"/>
    <x v="26"/>
    <n v="1"/>
    <n v="6.5"/>
    <x v="13"/>
    <s v="Papeleta 323/2017"/>
    <n v="339030"/>
    <n v="35"/>
    <x v="0"/>
  </r>
  <r>
    <s v="23083.008817/2015-43"/>
    <s v="025/2016"/>
    <s v="13/07/2016 a 12/07/2016"/>
    <x v="4"/>
    <s v="DEPARTAMENTO DE CIÊNCIAS FISIOLÓGICAS"/>
    <n v="155"/>
    <x v="120"/>
    <x v="0"/>
    <n v="50"/>
    <m/>
    <n v="4.93"/>
    <x v="7"/>
    <x v="32"/>
    <n v="50"/>
    <n v="246.5"/>
    <x v="17"/>
    <s v="Papeleta 605/20107"/>
    <n v="339030"/>
    <n v="35"/>
    <x v="0"/>
  </r>
  <r>
    <s v="23083.008817/2015-43"/>
    <s v="025/2016"/>
    <s v="13/07/2016 a 12/07/2016"/>
    <x v="4"/>
    <s v="DEPARTAMENTO DE CIÊNCIAS FISIOLÓGICAS"/>
    <n v="164"/>
    <x v="100"/>
    <x v="0"/>
    <n v="300"/>
    <m/>
    <n v="0.28000000000000003"/>
    <x v="7"/>
    <x v="27"/>
    <n v="218"/>
    <n v="61.040000000000006"/>
    <x v="10"/>
    <s v="Papeleta 327/2017"/>
    <n v="339030"/>
    <n v="35"/>
    <x v="6"/>
  </r>
  <r>
    <s v="23083.008817/2015-43"/>
    <s v="025/2016"/>
    <s v="13/07/2016 a 12/07/2016"/>
    <x v="4"/>
    <s v="DEPARTAMENTO DE CIÊNCIAS FISIOLÓGICAS"/>
    <n v="65"/>
    <x v="107"/>
    <x v="0"/>
    <n v="40"/>
    <m/>
    <n v="4.17"/>
    <x v="7"/>
    <x v="26"/>
    <n v="29"/>
    <n v="120.92999999999999"/>
    <x v="13"/>
    <s v="Papeleta 323/2017"/>
    <n v="339030"/>
    <n v="35"/>
    <x v="6"/>
  </r>
  <r>
    <s v="23083.008817/2015-43"/>
    <s v="025/2016"/>
    <s v="13/07/2016 a 12/07/2016"/>
    <x v="4"/>
    <s v="DEPARTAMENTO DE CIÊNCIAS FISIOLÓGICAS"/>
    <n v="67"/>
    <x v="113"/>
    <x v="0"/>
    <n v="40"/>
    <m/>
    <n v="4.41"/>
    <x v="7"/>
    <x v="26"/>
    <n v="40"/>
    <n v="176.4"/>
    <x v="13"/>
    <s v="Papeleta 323/2017"/>
    <n v="339030"/>
    <n v="35"/>
    <x v="0"/>
  </r>
  <r>
    <s v="23083.008817/2015-43"/>
    <s v="025/2016"/>
    <s v="13/07/2016 a 12/07/2016"/>
    <x v="4"/>
    <s v="DEPARTAMENTO DE CIÊNCIAS FISIOLÓGICAS"/>
    <n v="141"/>
    <x v="112"/>
    <x v="0"/>
    <n v="10"/>
    <m/>
    <n v="7.0000000000000007E-2"/>
    <x v="7"/>
    <x v="32"/>
    <n v="10"/>
    <n v="0.70000000000000007"/>
    <x v="17"/>
    <s v="Papeleta 605/20107"/>
    <n v="339030"/>
    <n v="35"/>
    <x v="0"/>
  </r>
  <r>
    <s v="23083.008817/2015-43"/>
    <s v="025/2016"/>
    <s v="13/07/2016 a 12/07/2016"/>
    <x v="4"/>
    <s v="DEPARTAMENTO DE CIÊNCIAS FISIOLÓGICAS"/>
    <n v="146"/>
    <x v="121"/>
    <x v="0"/>
    <n v="10"/>
    <m/>
    <n v="69.14"/>
    <x v="7"/>
    <x v="32"/>
    <n v="10"/>
    <n v="691.4"/>
    <x v="17"/>
    <s v="Papeleta 605/20107"/>
    <n v="339030"/>
    <n v="35"/>
    <x v="0"/>
  </r>
  <r>
    <s v="23083.008817/2015-43"/>
    <s v="025/2016"/>
    <s v="13/07/2016 a 12/07/2016"/>
    <x v="5"/>
    <s v="DEPARTAMENTO DE GENÉTICA"/>
    <n v="155"/>
    <x v="120"/>
    <x v="0"/>
    <n v="32"/>
    <m/>
    <n v="4.93"/>
    <x v="7"/>
    <x v="32"/>
    <n v="32"/>
    <n v="157.76"/>
    <x v="17"/>
    <s v="Papeleta 605/20107"/>
    <n v="339030"/>
    <n v="35"/>
    <x v="0"/>
  </r>
  <r>
    <s v="23083.008817/2015-43"/>
    <s v="025/2016"/>
    <s v="13/07/2016 a 12/07/2016"/>
    <x v="5"/>
    <s v="DEPARTAMENTO DE GENÉTICA"/>
    <n v="164"/>
    <x v="100"/>
    <x v="0"/>
    <n v="200"/>
    <m/>
    <n v="0.28000000000000003"/>
    <x v="7"/>
    <x v="27"/>
    <n v="200"/>
    <n v="56.000000000000007"/>
    <x v="10"/>
    <s v="Papeleta 327/2017"/>
    <n v="339030"/>
    <n v="35"/>
    <x v="0"/>
  </r>
  <r>
    <s v="23083.008817/2015-43"/>
    <s v="025/2016"/>
    <s v="13/07/2016 a 12/07/2016"/>
    <x v="5"/>
    <s v="DEPARTAMENTO DE GENÉTICA"/>
    <n v="5"/>
    <x v="122"/>
    <x v="0"/>
    <n v="6"/>
    <m/>
    <n v="3.2"/>
    <x v="7"/>
    <x v="29"/>
    <n v="6"/>
    <n v="19.200000000000003"/>
    <x v="15"/>
    <m/>
    <n v="339030"/>
    <n v="35"/>
    <x v="5"/>
  </r>
  <r>
    <s v="23083.008817/2015-43"/>
    <s v="025/2016"/>
    <s v="13/07/2016 a 12/07/2016"/>
    <x v="5"/>
    <s v="DEPARTAMENTO DE GENÉTICA"/>
    <n v="13"/>
    <x v="101"/>
    <x v="0"/>
    <n v="5"/>
    <m/>
    <n v="296.99"/>
    <x v="7"/>
    <x v="27"/>
    <n v="5"/>
    <n v="1484.95"/>
    <x v="10"/>
    <s v="Papeleta 327/2017"/>
    <n v="339030"/>
    <n v="35"/>
    <x v="0"/>
  </r>
  <r>
    <s v="23083.008817/2015-43"/>
    <s v="025/2016"/>
    <s v="13/07/2016 a 12/07/2016"/>
    <x v="5"/>
    <s v="DEPARTAMENTO DE GENÉTICA"/>
    <n v="48"/>
    <x v="106"/>
    <x v="0"/>
    <n v="3"/>
    <m/>
    <n v="2.29"/>
    <x v="7"/>
    <x v="28"/>
    <n v="3"/>
    <n v="6.87"/>
    <x v="12"/>
    <s v="Papeleta 297/2017"/>
    <n v="339030"/>
    <n v="35"/>
    <x v="0"/>
  </r>
  <r>
    <s v="23083.008817/2015-43"/>
    <s v="025/2016"/>
    <s v="13/07/2016 a 12/07/2016"/>
    <x v="5"/>
    <s v="DEPARTAMENTO DE GENÉTICA"/>
    <n v="50"/>
    <x v="115"/>
    <x v="0"/>
    <n v="5"/>
    <m/>
    <n v="2.17"/>
    <x v="7"/>
    <x v="28"/>
    <n v="5"/>
    <n v="10.85"/>
    <x v="12"/>
    <s v="Papeleta 297/2017"/>
    <n v="339030"/>
    <n v="35"/>
    <x v="0"/>
  </r>
  <r>
    <s v="23083.008817/2015-43"/>
    <s v="025/2016"/>
    <s v="13/07/2016 a 12/07/2016"/>
    <x v="5"/>
    <s v="DEPARTAMENTO DE GENÉTICA"/>
    <n v="169"/>
    <x v="108"/>
    <x v="0"/>
    <n v="5"/>
    <m/>
    <n v="25"/>
    <x v="7"/>
    <x v="33"/>
    <n v="5"/>
    <n v="125"/>
    <x v="14"/>
    <s v="Papeleta 357/2017"/>
    <n v="339030"/>
    <n v="35"/>
    <x v="0"/>
  </r>
  <r>
    <s v="23083.008817/2015-43"/>
    <s v="025/2016"/>
    <s v="13/07/2016 a 12/07/2016"/>
    <x v="5"/>
    <s v="DEPARTAMENTO DE GENÉTICA"/>
    <n v="128"/>
    <x v="111"/>
    <x v="0"/>
    <n v="2"/>
    <m/>
    <n v="34.19"/>
    <x v="7"/>
    <x v="31"/>
    <n v="2"/>
    <n v="68.38"/>
    <x v="12"/>
    <s v="Papeleta 298/2017"/>
    <n v="339030"/>
    <n v="35"/>
    <x v="0"/>
  </r>
  <r>
    <s v="23083.008817/2015-43"/>
    <s v="025/2016"/>
    <s v="13/07/2016 a 12/07/2016"/>
    <x v="5"/>
    <s v="DEPARTAMENTO DE GENÉTICA"/>
    <n v="170"/>
    <x v="123"/>
    <x v="0"/>
    <n v="43"/>
    <m/>
    <n v="0.5"/>
    <x v="7"/>
    <x v="32"/>
    <n v="43"/>
    <n v="21.5"/>
    <x v="17"/>
    <s v="Papeleta 605/20107"/>
    <n v="339030"/>
    <n v="35"/>
    <x v="0"/>
  </r>
  <r>
    <s v="23083.008817/2015-43"/>
    <s v="025/2016"/>
    <s v="13/07/2016 a 12/07/2016"/>
    <x v="5"/>
    <s v="DEPARTAMENTO DE GENÉTICA"/>
    <n v="146"/>
    <x v="121"/>
    <x v="0"/>
    <n v="5"/>
    <m/>
    <n v="69.14"/>
    <x v="7"/>
    <x v="32"/>
    <n v="5"/>
    <n v="345.7"/>
    <x v="17"/>
    <s v="Papeleta 605/20107"/>
    <n v="339030"/>
    <n v="35"/>
    <x v="0"/>
  </r>
  <r>
    <s v="23083.008817/2015-43"/>
    <s v="025/2016"/>
    <s v="13/07/2016 a 12/07/2016"/>
    <x v="6"/>
    <s v="INSTITUTO DE FLORESTAS"/>
    <n v="169"/>
    <x v="108"/>
    <x v="0"/>
    <n v="1"/>
    <m/>
    <n v="25"/>
    <x v="7"/>
    <x v="33"/>
    <n v="1"/>
    <n v="25"/>
    <x v="14"/>
    <s v="Papeleta 357/2017"/>
    <n v="339030"/>
    <n v="35"/>
    <x v="0"/>
  </r>
  <r>
    <s v="23083.008817/2015-43"/>
    <s v="025/2016"/>
    <s v="13/07/2016 a 12/07/2016"/>
    <x v="6"/>
    <s v="INSTITUTO DE FLORESTAS"/>
    <n v="146"/>
    <x v="121"/>
    <x v="0"/>
    <n v="2"/>
    <m/>
    <n v="69.14"/>
    <x v="7"/>
    <x v="32"/>
    <n v="2"/>
    <n v="138.28"/>
    <x v="17"/>
    <s v="Papeleta 605/20107"/>
    <n v="339030"/>
    <n v="35"/>
    <x v="0"/>
  </r>
  <r>
    <s v="23083.008817/2015-43"/>
    <s v="025/2016"/>
    <s v="13/07/2016 a 12/07/2016"/>
    <x v="7"/>
    <s v="DEPARTAMENTO DE FÍSICA"/>
    <n v="21"/>
    <x v="102"/>
    <x v="0"/>
    <n v="1"/>
    <m/>
    <n v="113.5"/>
    <x v="7"/>
    <x v="30"/>
    <n v="1"/>
    <n v="113.5"/>
    <x v="16"/>
    <s v="Papeleta 324/2017"/>
    <n v="339030"/>
    <n v="35"/>
    <x v="0"/>
  </r>
  <r>
    <s v="23083.008817/2015-43"/>
    <s v="025/2016"/>
    <s v="13/07/2016 a 12/07/2016"/>
    <x v="7"/>
    <s v="DEPARTAMENTO DE FÍSICA"/>
    <n v="24"/>
    <x v="124"/>
    <x v="0"/>
    <n v="1"/>
    <m/>
    <n v="115"/>
    <x v="7"/>
    <x v="30"/>
    <n v="1"/>
    <n v="115"/>
    <x v="16"/>
    <s v="Papeleta 324/2017"/>
    <n v="339030"/>
    <n v="35"/>
    <x v="0"/>
  </r>
  <r>
    <s v="23083.008817/2015-43"/>
    <s v="025/2016"/>
    <s v="13/07/2016 a 12/07/2016"/>
    <x v="7"/>
    <s v="DEPARTAMENTO DE FÍSICA"/>
    <n v="25"/>
    <x v="125"/>
    <x v="0"/>
    <n v="1"/>
    <m/>
    <n v="118"/>
    <x v="7"/>
    <x v="30"/>
    <n v="1"/>
    <n v="118"/>
    <x v="16"/>
    <s v="Papeleta 324/2017"/>
    <n v="339030"/>
    <n v="35"/>
    <x v="0"/>
  </r>
  <r>
    <s v="23083.008817/2015-43"/>
    <s v="025/2016"/>
    <s v="13/07/2016 a 12/07/2016"/>
    <x v="7"/>
    <s v="DEPARTAMENTO DE FÍSICA"/>
    <n v="29"/>
    <x v="126"/>
    <x v="0"/>
    <n v="1"/>
    <m/>
    <n v="110.41"/>
    <x v="7"/>
    <x v="30"/>
    <n v="1"/>
    <n v="110.41"/>
    <x v="16"/>
    <s v="Papeleta 324/2017"/>
    <n v="339030"/>
    <n v="35"/>
    <x v="0"/>
  </r>
  <r>
    <s v="23083.008817/2015-43"/>
    <s v="025/2016"/>
    <s v="13/07/2016 a 12/07/2016"/>
    <x v="7"/>
    <s v="DEPARTAMENTO DE FÍSICA"/>
    <n v="31"/>
    <x v="127"/>
    <x v="0"/>
    <n v="1"/>
    <m/>
    <n v="110"/>
    <x v="7"/>
    <x v="30"/>
    <n v="1"/>
    <n v="110"/>
    <x v="16"/>
    <s v="Papeleta 324/2017"/>
    <n v="339030"/>
    <n v="35"/>
    <x v="0"/>
  </r>
  <r>
    <s v="23083.008817/2015-43"/>
    <s v="025/2016"/>
    <s v="13/07/2016 a 12/07/2016"/>
    <x v="7"/>
    <s v="DEPARTAMENTO DE FÍSICA"/>
    <n v="34"/>
    <x v="128"/>
    <x v="0"/>
    <n v="1"/>
    <m/>
    <n v="204.5"/>
    <x v="7"/>
    <x v="30"/>
    <n v="1"/>
    <n v="204.5"/>
    <x v="16"/>
    <s v="Papeleta 324/2017"/>
    <n v="339030"/>
    <n v="35"/>
    <x v="0"/>
  </r>
  <r>
    <s v="23083.008817/2015-43"/>
    <s v="025/2016"/>
    <s v="13/07/2016 a 12/07/2016"/>
    <x v="7"/>
    <s v="DEPARTAMENTO DE FÍSICA"/>
    <n v="39"/>
    <x v="129"/>
    <x v="0"/>
    <n v="1"/>
    <m/>
    <n v="106.5"/>
    <x v="7"/>
    <x v="30"/>
    <n v="1"/>
    <n v="106.5"/>
    <x v="16"/>
    <s v="Papeleta 324/2017"/>
    <n v="339030"/>
    <n v="35"/>
    <x v="0"/>
  </r>
  <r>
    <s v="23083.008817/2015-43"/>
    <s v="025/2016"/>
    <s v="13/07/2016 a 12/07/2016"/>
    <x v="7"/>
    <s v="DEPARTAMENTO DE FÍSICA"/>
    <n v="151"/>
    <x v="116"/>
    <x v="0"/>
    <n v="10"/>
    <m/>
    <n v="3.99"/>
    <x v="7"/>
    <x v="26"/>
    <n v="10"/>
    <n v="39.900000000000006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155"/>
    <x v="120"/>
    <x v="0"/>
    <n v="10"/>
    <m/>
    <n v="4.93"/>
    <x v="7"/>
    <x v="32"/>
    <n v="10"/>
    <n v="49.3"/>
    <x v="17"/>
    <s v="Papeleta 605/20107"/>
    <n v="339030"/>
    <n v="35"/>
    <x v="0"/>
  </r>
  <r>
    <s v="23083.008817/2015-43"/>
    <s v="025/2016"/>
    <s v="13/07/2016 a 12/07/2016"/>
    <x v="8"/>
    <s v="DEPARTAMENTO DE TECNOLOGIA DE ALIMENTOS"/>
    <n v="164"/>
    <x v="100"/>
    <x v="0"/>
    <n v="52"/>
    <m/>
    <n v="0.28000000000000003"/>
    <x v="7"/>
    <x v="27"/>
    <n v="52"/>
    <n v="14.560000000000002"/>
    <x v="10"/>
    <s v="Papeleta 327/2017"/>
    <n v="339030"/>
    <n v="35"/>
    <x v="0"/>
  </r>
  <r>
    <s v="23083.008817/2015-43"/>
    <s v="025/2016"/>
    <s v="13/07/2016 a 12/07/2016"/>
    <x v="8"/>
    <s v="DEPARTAMENTO DE TECNOLOGIA DE ALIMENTOS"/>
    <n v="13"/>
    <x v="101"/>
    <x v="0"/>
    <n v="12"/>
    <m/>
    <n v="296.99"/>
    <x v="7"/>
    <x v="27"/>
    <n v="12"/>
    <n v="3563.88"/>
    <x v="10"/>
    <s v="Papeleta 327/2017"/>
    <n v="339030"/>
    <n v="35"/>
    <x v="0"/>
  </r>
  <r>
    <s v="23083.008817/2015-43"/>
    <s v="025/2016"/>
    <s v="13/07/2016 a 12/07/2016"/>
    <x v="8"/>
    <s v="DEPARTAMENTO DE TECNOLOGIA DE ALIMENTOS"/>
    <n v="22"/>
    <x v="118"/>
    <x v="0"/>
    <n v="1"/>
    <m/>
    <n v="115"/>
    <x v="7"/>
    <x v="30"/>
    <n v="1"/>
    <n v="115"/>
    <x v="16"/>
    <s v="Papeleta 324/2017"/>
    <n v="339030"/>
    <n v="35"/>
    <x v="0"/>
  </r>
  <r>
    <s v="23083.008817/2015-43"/>
    <s v="025/2016"/>
    <s v="13/07/2016 a 12/07/2016"/>
    <x v="8"/>
    <s v="DEPARTAMENTO DE TECNOLOGIA DE ALIMENTOS"/>
    <n v="27"/>
    <x v="130"/>
    <x v="0"/>
    <n v="1"/>
    <m/>
    <n v="118"/>
    <x v="7"/>
    <x v="30"/>
    <n v="1"/>
    <n v="118"/>
    <x v="16"/>
    <s v="Papeleta 324/2017"/>
    <n v="339030"/>
    <n v="35"/>
    <x v="0"/>
  </r>
  <r>
    <s v="23083.008817/2015-43"/>
    <s v="025/2016"/>
    <s v="13/07/2016 a 12/07/2016"/>
    <x v="8"/>
    <s v="DEPARTAMENTO DE TECNOLOGIA DE ALIMENTOS"/>
    <n v="29"/>
    <x v="126"/>
    <x v="0"/>
    <n v="1"/>
    <m/>
    <n v="110.41"/>
    <x v="7"/>
    <x v="30"/>
    <n v="1"/>
    <n v="110.41"/>
    <x v="16"/>
    <s v="Papeleta 324/2017"/>
    <n v="339030"/>
    <n v="35"/>
    <x v="0"/>
  </r>
  <r>
    <s v="23083.008817/2015-43"/>
    <s v="025/2016"/>
    <s v="13/07/2016 a 12/07/2016"/>
    <x v="8"/>
    <s v="DEPARTAMENTO DE TECNOLOGIA DE ALIMENTOS"/>
    <n v="43"/>
    <x v="103"/>
    <x v="0"/>
    <n v="50"/>
    <m/>
    <n v="1.82"/>
    <x v="7"/>
    <x v="28"/>
    <n v="50"/>
    <n v="91"/>
    <x v="12"/>
    <s v="Papeleta 297/2017"/>
    <n v="339030"/>
    <n v="35"/>
    <x v="0"/>
  </r>
  <r>
    <s v="23083.008817/2015-43"/>
    <s v="025/2016"/>
    <s v="13/07/2016 a 12/07/2016"/>
    <x v="8"/>
    <s v="DEPARTAMENTO DE TECNOLOGIA DE ALIMENTOS"/>
    <n v="47"/>
    <x v="104"/>
    <x v="0"/>
    <n v="30"/>
    <m/>
    <n v="3.95"/>
    <x v="7"/>
    <x v="28"/>
    <n v="30"/>
    <n v="118.5"/>
    <x v="12"/>
    <s v="Papeleta 297/2017"/>
    <n v="339030"/>
    <n v="35"/>
    <x v="0"/>
  </r>
  <r>
    <s v="23083.008817/2015-43"/>
    <s v="025/2016"/>
    <s v="13/07/2016 a 12/07/2016"/>
    <x v="8"/>
    <s v="DEPARTAMENTO DE TECNOLOGIA DE ALIMENTOS"/>
    <n v="46"/>
    <x v="105"/>
    <x v="0"/>
    <n v="100"/>
    <m/>
    <n v="1.67"/>
    <x v="7"/>
    <x v="28"/>
    <n v="65"/>
    <n v="108.55"/>
    <x v="12"/>
    <s v="Papeleta 297/2017"/>
    <n v="339030"/>
    <n v="35"/>
    <x v="2"/>
  </r>
  <r>
    <s v="23083.008817/2015-43"/>
    <s v="025/2016"/>
    <s v="13/07/2016 a 12/07/2016"/>
    <x v="8"/>
    <s v="DEPARTAMENTO DE TECNOLOGIA DE ALIMENTOS"/>
    <n v="48"/>
    <x v="106"/>
    <x v="0"/>
    <n v="100"/>
    <m/>
    <n v="2.29"/>
    <x v="7"/>
    <x v="28"/>
    <n v="100"/>
    <n v="229"/>
    <x v="12"/>
    <s v="Papeleta 297/2017"/>
    <n v="339030"/>
    <n v="35"/>
    <x v="0"/>
  </r>
  <r>
    <s v="23083.008817/2015-43"/>
    <s v="025/2016"/>
    <s v="13/07/2016 a 12/07/2016"/>
    <x v="8"/>
    <s v="DEPARTAMENTO DE TECNOLOGIA DE ALIMENTOS"/>
    <n v="60"/>
    <x v="131"/>
    <x v="0"/>
    <n v="20"/>
    <m/>
    <n v="33.4"/>
    <x v="7"/>
    <x v="26"/>
    <n v="20"/>
    <n v="668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65"/>
    <x v="107"/>
    <x v="0"/>
    <n v="50"/>
    <m/>
    <n v="4.17"/>
    <x v="7"/>
    <x v="26"/>
    <n v="30"/>
    <n v="125.1"/>
    <x v="13"/>
    <s v="Papeleta 323/2017"/>
    <n v="339030"/>
    <n v="35"/>
    <x v="6"/>
  </r>
  <r>
    <s v="23083.008817/2015-43"/>
    <s v="025/2016"/>
    <s v="13/07/2016 a 12/07/2016"/>
    <x v="8"/>
    <s v="DEPARTAMENTO DE TECNOLOGIA DE ALIMENTOS"/>
    <n v="67"/>
    <x v="113"/>
    <x v="0"/>
    <n v="50"/>
    <m/>
    <n v="4.41"/>
    <x v="7"/>
    <x v="26"/>
    <n v="50"/>
    <n v="220.5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69"/>
    <x v="114"/>
    <x v="0"/>
    <n v="50"/>
    <m/>
    <n v="4.32"/>
    <x v="7"/>
    <x v="26"/>
    <n v="50"/>
    <n v="216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169"/>
    <x v="108"/>
    <x v="0"/>
    <n v="5"/>
    <m/>
    <n v="25"/>
    <x v="7"/>
    <x v="33"/>
    <n v="5"/>
    <n v="125"/>
    <x v="14"/>
    <s v="Papeleta 357/2017"/>
    <n v="339030"/>
    <n v="35"/>
    <x v="0"/>
  </r>
  <r>
    <s v="23083.008817/2015-43"/>
    <s v="025/2016"/>
    <s v="13/07/2016 a 12/07/2016"/>
    <x v="8"/>
    <s v="DEPARTAMENTO DE TECNOLOGIA DE ALIMENTOS"/>
    <n v="121"/>
    <x v="132"/>
    <x v="0"/>
    <n v="30"/>
    <m/>
    <n v="42.73"/>
    <x v="7"/>
    <x v="26"/>
    <n v="30"/>
    <n v="1281.8999999999999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122"/>
    <x v="110"/>
    <x v="0"/>
    <n v="32"/>
    <m/>
    <n v="21.65"/>
    <x v="7"/>
    <x v="26"/>
    <n v="32"/>
    <n v="692.8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128"/>
    <x v="111"/>
    <x v="0"/>
    <n v="15"/>
    <m/>
    <n v="34.19"/>
    <x v="7"/>
    <x v="31"/>
    <n v="15"/>
    <n v="512.84999999999991"/>
    <x v="12"/>
    <s v="Papeleta 298/2017"/>
    <n v="339030"/>
    <n v="35"/>
    <x v="0"/>
  </r>
  <r>
    <s v="23083.008817/2015-43"/>
    <s v="025/2016"/>
    <s v="13/07/2016 a 12/07/2016"/>
    <x v="8"/>
    <s v="DEPARTAMENTO DE TECNOLOGIA DE ALIMENTOS"/>
    <n v="146"/>
    <x v="121"/>
    <x v="0"/>
    <n v="1"/>
    <m/>
    <n v="69.14"/>
    <x v="7"/>
    <x v="32"/>
    <n v="1"/>
    <n v="69.14"/>
    <x v="17"/>
    <s v="Papeleta 605/20107"/>
    <n v="339030"/>
    <n v="35"/>
    <x v="0"/>
  </r>
  <r>
    <s v="23083.008817/2015-43"/>
    <s v="025/2016"/>
    <s v="13/07/2016 a 12/07/2016"/>
    <x v="8"/>
    <s v="DEPARTAMENTO DE TECNOLOGIA DE ALIMENTOS"/>
    <n v="151"/>
    <x v="116"/>
    <x v="0"/>
    <n v="10"/>
    <m/>
    <n v="3.99"/>
    <x v="7"/>
    <x v="26"/>
    <n v="10"/>
    <n v="39.900000000000006"/>
    <x v="13"/>
    <s v="Papeleta 323/2017"/>
    <n v="339030"/>
    <n v="35"/>
    <x v="0"/>
  </r>
  <r>
    <s v="23083.008817/2015-43"/>
    <s v="025/2016"/>
    <s v="13/07/2016 a 12/07/2016"/>
    <x v="8"/>
    <s v="DEPARTAMENTO DE TECNOLOGIA DE ALIMENTOS"/>
    <n v="150"/>
    <x v="119"/>
    <x v="0"/>
    <n v="20"/>
    <m/>
    <n v="6.5"/>
    <x v="7"/>
    <x v="26"/>
    <n v="20"/>
    <n v="130"/>
    <x v="13"/>
    <s v="Papeleta 323/2017"/>
    <n v="339030"/>
    <n v="35"/>
    <x v="0"/>
  </r>
  <r>
    <s v="23083.008817/2015-43"/>
    <s v="025/2016"/>
    <s v="13/07/2016 a 12/07/2016"/>
    <x v="18"/>
    <s v="DEPARTAMENTO DE MEDICINA E CIRURGIA VETERINÁRIA"/>
    <n v="5"/>
    <x v="122"/>
    <x v="0"/>
    <n v="20"/>
    <m/>
    <n v="3.2"/>
    <x v="7"/>
    <x v="29"/>
    <n v="20"/>
    <n v="64"/>
    <x v="15"/>
    <m/>
    <n v="339030"/>
    <n v="35"/>
    <x v="5"/>
  </r>
  <r>
    <s v="23083.008817/2015-43"/>
    <s v="025/2016"/>
    <s v="13/07/2016 a 12/07/2016"/>
    <x v="18"/>
    <s v="DEPARTAMENTO DE MEDICINA E CIRURGIA VETERINÁRIA"/>
    <n v="169"/>
    <x v="108"/>
    <x v="0"/>
    <n v="2"/>
    <m/>
    <n v="25"/>
    <x v="7"/>
    <x v="33"/>
    <n v="2"/>
    <n v="50"/>
    <x v="14"/>
    <s v="Papeleta 357/2017"/>
    <n v="339030"/>
    <n v="35"/>
    <x v="0"/>
  </r>
  <r>
    <s v="23083.008817/2015-43"/>
    <s v="025/2016"/>
    <s v="13/07/2016 a 12/07/2016"/>
    <x v="9"/>
    <s v="DEPARTAMENTO DE PARASITOLOGIA ANIMAL"/>
    <n v="170"/>
    <x v="123"/>
    <x v="0"/>
    <n v="2"/>
    <m/>
    <n v="0.5"/>
    <x v="7"/>
    <x v="32"/>
    <n v="2"/>
    <n v="1"/>
    <x v="17"/>
    <s v="Papeleta 605/20107"/>
    <n v="339030"/>
    <n v="35"/>
    <x v="0"/>
  </r>
  <r>
    <s v="23083.008817/2015-43"/>
    <s v="025/2016"/>
    <s v="13/07/2016 a 12/07/2016"/>
    <x v="9"/>
    <s v="DEPARTAMENTO DE PARASITOLOGIA ANIMAL"/>
    <n v="146"/>
    <x v="121"/>
    <x v="0"/>
    <n v="6"/>
    <m/>
    <n v="69.14"/>
    <x v="7"/>
    <x v="32"/>
    <n v="6"/>
    <n v="414.84000000000003"/>
    <x v="17"/>
    <s v="Papeleta 605/20107"/>
    <n v="339030"/>
    <n v="35"/>
    <x v="0"/>
  </r>
  <r>
    <s v="23083.008817/2015-43"/>
    <s v="025/2016"/>
    <s v="13/07/2016 a 12/07/2016"/>
    <x v="10"/>
    <s v="INSTITUTO DE ZOOTECNIA"/>
    <n v="127"/>
    <x v="133"/>
    <x v="0"/>
    <n v="2"/>
    <m/>
    <n v="170"/>
    <x v="7"/>
    <x v="31"/>
    <n v="2"/>
    <n v="340"/>
    <x v="12"/>
    <s v="Papeleta 298/2017"/>
    <n v="339030"/>
    <n v="35"/>
    <x v="0"/>
  </r>
  <r>
    <s v="23083.008817/2015-43"/>
    <s v="025/2016"/>
    <s v="13/07/2016 a 12/07/2016"/>
    <x v="10"/>
    <s v="INSTITUTO DE ZOOTECNIA"/>
    <n v="128"/>
    <x v="111"/>
    <x v="0"/>
    <n v="3"/>
    <m/>
    <n v="34.19"/>
    <x v="8"/>
    <x v="31"/>
    <n v="3"/>
    <n v="102.57"/>
    <x v="12"/>
    <s v="Papeleta 298/2017"/>
    <n v="339030"/>
    <n v="35"/>
    <x v="0"/>
  </r>
  <r>
    <s v="23083.008817/2015-43"/>
    <s v="025/2016"/>
    <s v="13/07/2016 a 12/07/2016"/>
    <x v="12"/>
    <s v="INSTITUTO DE CIÊNCIAS SOCIAIS APLICADAS"/>
    <n v="164"/>
    <x v="100"/>
    <x v="0"/>
    <n v="50"/>
    <m/>
    <n v="0.28000000000000003"/>
    <x v="7"/>
    <x v="27"/>
    <n v="50"/>
    <n v="14.000000000000002"/>
    <x v="10"/>
    <s v="Papeleta 327/2017"/>
    <n v="339030"/>
    <n v="35"/>
    <x v="0"/>
  </r>
  <r>
    <s v="23083.008817/2015-43"/>
    <s v="025/2016"/>
    <s v="13/07/2016 a 12/07/2017"/>
    <x v="0"/>
    <s v="CTUR"/>
    <n v="155"/>
    <x v="120"/>
    <x v="1"/>
    <n v="5"/>
    <d v="2017-06-08T00:00:00"/>
    <n v="4.93"/>
    <x v="9"/>
    <x v="34"/>
    <n v="5"/>
    <n v="24.65"/>
    <x v="18"/>
    <s v="Papeleta 381/2017"/>
    <m/>
    <m/>
    <x v="0"/>
  </r>
  <r>
    <s v="23083.008817/2015-43"/>
    <s v="025/2016"/>
    <s v="13/07/2016 a 12/07/2017"/>
    <x v="0"/>
    <s v="CTUR"/>
    <n v="161"/>
    <x v="134"/>
    <x v="1"/>
    <n v="10"/>
    <d v="2017-06-08T00:00:00"/>
    <n v="15"/>
    <x v="9"/>
    <x v="35"/>
    <n v="10"/>
    <n v="150"/>
    <x v="19"/>
    <s v="Papeleta 364/2017"/>
    <m/>
    <m/>
    <x v="0"/>
  </r>
  <r>
    <s v="23083.008817/2015-43"/>
    <s v="025/2016"/>
    <s v="13/07/2016 a 12/07/2017"/>
    <x v="0"/>
    <s v="CTUR"/>
    <n v="162"/>
    <x v="135"/>
    <x v="1"/>
    <n v="5"/>
    <d v="2017-06-08T00:00:00"/>
    <n v="12"/>
    <x v="9"/>
    <x v="35"/>
    <n v="5"/>
    <n v="60"/>
    <x v="19"/>
    <s v="Papeleta 364/2017"/>
    <m/>
    <m/>
    <x v="0"/>
  </r>
  <r>
    <s v="23083.008817/2015-43"/>
    <s v="025/2016"/>
    <s v="13/07/2016 a 12/07/2017"/>
    <x v="0"/>
    <s v="CTUR"/>
    <n v="4"/>
    <x v="117"/>
    <x v="1"/>
    <n v="1"/>
    <d v="2017-06-08T00:00:00"/>
    <n v="689"/>
    <x v="9"/>
    <x v="36"/>
    <n v="1"/>
    <n v="689"/>
    <x v="20"/>
    <m/>
    <m/>
    <m/>
    <x v="7"/>
  </r>
  <r>
    <s v="23083.008817/2015-43"/>
    <s v="025/2016"/>
    <s v="13/07/2016 a 12/07/2017"/>
    <x v="0"/>
    <s v="CTUR"/>
    <n v="13"/>
    <x v="101"/>
    <x v="1"/>
    <n v="1"/>
    <d v="2017-06-08T00:00:00"/>
    <n v="296.99"/>
    <x v="9"/>
    <x v="37"/>
    <n v="1"/>
    <n v="296.99"/>
    <x v="21"/>
    <s v="Papeleta 392/2017"/>
    <m/>
    <m/>
    <x v="0"/>
  </r>
  <r>
    <s v="23083.008817/2015-43"/>
    <s v="025/2016"/>
    <s v="13/07/2016 a 12/07/2017"/>
    <x v="0"/>
    <s v="CTUR"/>
    <n v="43"/>
    <x v="103"/>
    <x v="1"/>
    <n v="10"/>
    <d v="2017-06-08T00:00:00"/>
    <n v="1.82"/>
    <x v="9"/>
    <x v="38"/>
    <n v="10"/>
    <n v="18.2"/>
    <x v="19"/>
    <s v="Papeleta 380/2017"/>
    <m/>
    <m/>
    <x v="0"/>
  </r>
  <r>
    <s v="23083.008817/2015-43"/>
    <s v="025/2016"/>
    <s v="13/07/2016 a 12/07/2017"/>
    <x v="0"/>
    <s v="CTUR"/>
    <n v="48"/>
    <x v="106"/>
    <x v="1"/>
    <n v="10"/>
    <d v="2017-06-08T00:00:00"/>
    <n v="2.29"/>
    <x v="9"/>
    <x v="38"/>
    <n v="10"/>
    <n v="22.9"/>
    <x v="19"/>
    <s v="Papeleta 380/2017"/>
    <m/>
    <m/>
    <x v="0"/>
  </r>
  <r>
    <s v="23083.008817/2015-43"/>
    <s v="025/2016"/>
    <s v="13/07/2016 a 12/07/2017"/>
    <x v="0"/>
    <s v="CTUR"/>
    <n v="169"/>
    <x v="108"/>
    <x v="1"/>
    <n v="1"/>
    <d v="2017-06-08T00:00:00"/>
    <n v="25"/>
    <x v="9"/>
    <x v="39"/>
    <n v="1"/>
    <n v="25"/>
    <x v="19"/>
    <s v="Papeleta 374/2017"/>
    <m/>
    <m/>
    <x v="0"/>
  </r>
  <r>
    <s v="23083.008817/2015-43"/>
    <s v="025/2016"/>
    <s v="13/07/2016 a 12/07/2017"/>
    <x v="0"/>
    <s v="CTUR"/>
    <n v="90"/>
    <x v="136"/>
    <x v="1"/>
    <n v="5"/>
    <d v="2017-06-08T00:00:00"/>
    <n v="3.35"/>
    <x v="9"/>
    <x v="40"/>
    <n v="5"/>
    <n v="16.75"/>
    <x v="22"/>
    <s v="Papeleta 648/2017"/>
    <m/>
    <m/>
    <x v="0"/>
  </r>
  <r>
    <s v="23083.008817/2015-43"/>
    <s v="025/2016"/>
    <s v="13/07/2016 a 12/07/2017"/>
    <x v="0"/>
    <s v="CTUR"/>
    <n v="89"/>
    <x v="137"/>
    <x v="1"/>
    <n v="20"/>
    <d v="2017-06-08T00:00:00"/>
    <n v="4.6100000000000003"/>
    <x v="9"/>
    <x v="40"/>
    <n v="20"/>
    <n v="92.2"/>
    <x v="22"/>
    <s v="Papeleta 648/2017"/>
    <m/>
    <m/>
    <x v="0"/>
  </r>
  <r>
    <s v="23083.008817/2015-43"/>
    <s v="025/2016"/>
    <s v="13/07/2016 a 12/07/2017"/>
    <x v="0"/>
    <s v="CTUR"/>
    <n v="94"/>
    <x v="138"/>
    <x v="1"/>
    <n v="15"/>
    <d v="2017-06-08T00:00:00"/>
    <n v="4.49"/>
    <x v="9"/>
    <x v="40"/>
    <n v="15"/>
    <n v="67.350000000000009"/>
    <x v="22"/>
    <s v="Papeleta 648/2017"/>
    <m/>
    <m/>
    <x v="0"/>
  </r>
  <r>
    <s v="23083.008817/2015-43"/>
    <s v="025/2016"/>
    <s v="13/07/2016 a 12/07/2017"/>
    <x v="0"/>
    <s v="CTUR"/>
    <n v="125"/>
    <x v="109"/>
    <x v="1"/>
    <n v="2"/>
    <d v="2017-06-08T00:00:00"/>
    <n v="88.53"/>
    <x v="9"/>
    <x v="41"/>
    <n v="1"/>
    <n v="88.53"/>
    <x v="23"/>
    <s v="Papeleta 468/2017"/>
    <m/>
    <m/>
    <x v="0"/>
  </r>
  <r>
    <s v="23083.008817/2015-43"/>
    <s v="025/2016"/>
    <s v="13/07/2016 a 12/07/2017"/>
    <x v="0"/>
    <s v="CTUR"/>
    <n v="121"/>
    <x v="132"/>
    <x v="1"/>
    <n v="5"/>
    <d v="2017-06-08T00:00:00"/>
    <n v="42.73"/>
    <x v="9"/>
    <x v="41"/>
    <n v="5"/>
    <n v="213.64999999999998"/>
    <x v="23"/>
    <s v="Papeleta 468/2017"/>
    <m/>
    <m/>
    <x v="0"/>
  </r>
  <r>
    <s v="23083.008817/2015-43"/>
    <s v="025/2016"/>
    <s v="13/07/2016 a 12/07/2017"/>
    <x v="0"/>
    <s v="CTUR"/>
    <n v="122"/>
    <x v="110"/>
    <x v="1"/>
    <n v="10"/>
    <d v="2017-06-08T00:00:00"/>
    <n v="21.65"/>
    <x v="9"/>
    <x v="41"/>
    <n v="10"/>
    <n v="216.5"/>
    <x v="23"/>
    <s v="Papeleta 468/2017"/>
    <m/>
    <m/>
    <x v="0"/>
  </r>
  <r>
    <s v="23083.008817/2015-43"/>
    <s v="025/2016"/>
    <s v="13/07/2016 a 12/07/2017"/>
    <x v="0"/>
    <s v="CTUR"/>
    <n v="127"/>
    <x v="133"/>
    <x v="1"/>
    <n v="2"/>
    <d v="2017-06-08T00:00:00"/>
    <n v="170"/>
    <x v="9"/>
    <x v="42"/>
    <n v="2"/>
    <n v="340"/>
    <x v="24"/>
    <s v="Papaeleta 414/2017"/>
    <m/>
    <m/>
    <x v="0"/>
  </r>
  <r>
    <s v="23083.008817/2015-43"/>
    <s v="025/2016"/>
    <s v="13/07/2016 a 12/07/2017"/>
    <x v="0"/>
    <s v="CTUR"/>
    <n v="128"/>
    <x v="111"/>
    <x v="1"/>
    <n v="3"/>
    <d v="2017-06-08T00:00:00"/>
    <n v="34.19"/>
    <x v="9"/>
    <x v="42"/>
    <n v="3"/>
    <n v="102.57"/>
    <x v="24"/>
    <s v="Papaeleta 414/2017"/>
    <m/>
    <m/>
    <x v="0"/>
  </r>
  <r>
    <s v="23083.008817/2015-43"/>
    <s v="025/2016"/>
    <s v="13/07/2016 a 12/07/2017"/>
    <x v="0"/>
    <s v="CTUR"/>
    <n v="141"/>
    <x v="112"/>
    <x v="1"/>
    <n v="1"/>
    <d v="2017-06-08T00:00:00"/>
    <n v="7.0000000000000007E-2"/>
    <x v="9"/>
    <x v="9"/>
    <m/>
    <m/>
    <x v="6"/>
    <m/>
    <m/>
    <m/>
    <x v="8"/>
  </r>
  <r>
    <s v="23083.008817/2015-43"/>
    <s v="025/2016"/>
    <s v="13/07/2016 a 12/07/2017"/>
    <x v="0"/>
    <s v="CTUR"/>
    <n v="148"/>
    <x v="139"/>
    <x v="1"/>
    <n v="10"/>
    <d v="2017-06-08T00:00:00"/>
    <n v="17.48"/>
    <x v="9"/>
    <x v="41"/>
    <n v="10"/>
    <n v="174.8"/>
    <x v="23"/>
    <s v="Papeleta 468/2017"/>
    <m/>
    <m/>
    <x v="0"/>
  </r>
  <r>
    <s v="23083.008817/2015-43"/>
    <s v="025/2016"/>
    <s v="13/07/2016 a 12/07/2017"/>
    <x v="0"/>
    <s v="CTUR"/>
    <n v="149"/>
    <x v="140"/>
    <x v="1"/>
    <n v="10"/>
    <d v="2017-06-08T00:00:00"/>
    <n v="17.48"/>
    <x v="9"/>
    <x v="41"/>
    <n v="10"/>
    <n v="174.8"/>
    <x v="23"/>
    <s v="Papeleta 468/2017"/>
    <m/>
    <m/>
    <x v="0"/>
  </r>
  <r>
    <s v="23083.008817/2015-43"/>
    <s v="025/2016"/>
    <s v="13/07/2016 a 12/07/2017"/>
    <x v="19"/>
    <s v="DEPARTAMENTO DE SOLOS"/>
    <n v="155"/>
    <x v="120"/>
    <x v="2"/>
    <n v="100"/>
    <d v="2017-06-08T00:00:00"/>
    <n v="4.93"/>
    <x v="9"/>
    <x v="43"/>
    <n v="100"/>
    <n v="493"/>
    <x v="18"/>
    <s v="Papeleta 381/2017"/>
    <m/>
    <m/>
    <x v="0"/>
  </r>
  <r>
    <s v="23083.008817/2015-43"/>
    <s v="025/2016"/>
    <s v="13/07/2016 a 12/07/2017"/>
    <x v="19"/>
    <s v="DEPARTAMENTO DE SOLOS"/>
    <n v="161"/>
    <x v="134"/>
    <x v="2"/>
    <n v="36"/>
    <d v="2017-06-08T00:00:00"/>
    <n v="15"/>
    <x v="9"/>
    <x v="44"/>
    <n v="36"/>
    <n v="540"/>
    <x v="19"/>
    <s v="Papeleta 364/2017"/>
    <m/>
    <m/>
    <x v="0"/>
  </r>
  <r>
    <s v="23083.008817/2015-43"/>
    <s v="025/2016"/>
    <s v="13/07/2016 a 12/07/2017"/>
    <x v="19"/>
    <s v="DEPARTAMENTO DE SOLOS"/>
    <n v="162"/>
    <x v="135"/>
    <x v="2"/>
    <n v="36"/>
    <d v="2017-06-08T00:00:00"/>
    <n v="12"/>
    <x v="9"/>
    <x v="44"/>
    <n v="36"/>
    <n v="432"/>
    <x v="19"/>
    <s v="Papeleta 364/2017"/>
    <m/>
    <m/>
    <x v="0"/>
  </r>
  <r>
    <s v="23083.008817/2015-43"/>
    <s v="025/2016"/>
    <s v="13/07/2016 a 12/07/2017"/>
    <x v="19"/>
    <s v="DEPARTAMENTO DE SOLOS"/>
    <n v="90"/>
    <x v="136"/>
    <x v="2"/>
    <n v="12"/>
    <d v="2017-06-08T00:00:00"/>
    <n v="3.35"/>
    <x v="9"/>
    <x v="45"/>
    <n v="12"/>
    <n v="40.200000000000003"/>
    <x v="25"/>
    <s v="Papeleta 473/2017"/>
    <m/>
    <m/>
    <x v="0"/>
  </r>
  <r>
    <s v="23083.008817/2015-43"/>
    <s v="025/2016"/>
    <s v="13/07/2016 a 12/07/2017"/>
    <x v="19"/>
    <s v="DEPARTAMENTO DE SOLOS"/>
    <n v="89"/>
    <x v="137"/>
    <x v="2"/>
    <n v="12"/>
    <d v="2017-06-08T00:00:00"/>
    <n v="4.6100000000000003"/>
    <x v="9"/>
    <x v="45"/>
    <n v="12"/>
    <n v="55.320000000000007"/>
    <x v="25"/>
    <s v="Papeleta 473/2017"/>
    <m/>
    <m/>
    <x v="0"/>
  </r>
  <r>
    <s v="23083.008817/2015-43"/>
    <s v="025/2016"/>
    <s v="13/07/2016 a 12/07/2017"/>
    <x v="19"/>
    <s v="DEPARTAMENTO DE SOLOS"/>
    <n v="94"/>
    <x v="138"/>
    <x v="2"/>
    <n v="12"/>
    <d v="2017-06-08T00:00:00"/>
    <n v="4.49"/>
    <x v="9"/>
    <x v="45"/>
    <n v="12"/>
    <n v="53.88"/>
    <x v="25"/>
    <s v="Papeleta 473/2017"/>
    <m/>
    <m/>
    <x v="0"/>
  </r>
  <r>
    <s v="23083.008817/2015-43"/>
    <s v="025/2016"/>
    <s v="13/07/2016 a 12/07/2017"/>
    <x v="19"/>
    <s v="DEPARTAMENTO DE SOLOS"/>
    <n v="92"/>
    <x v="141"/>
    <x v="2"/>
    <n v="12"/>
    <d v="2017-06-08T00:00:00"/>
    <n v="5.12"/>
    <x v="9"/>
    <x v="45"/>
    <n v="12"/>
    <n v="61.44"/>
    <x v="25"/>
    <s v="Papeleta 473/2017"/>
    <m/>
    <m/>
    <x v="0"/>
  </r>
  <r>
    <s v="23083.008817/2015-43"/>
    <s v="025/2016"/>
    <s v="13/07/2016 a 12/07/2017"/>
    <x v="19"/>
    <s v="DEPARTAMENTO DE SOLOS"/>
    <n v="128"/>
    <x v="111"/>
    <x v="2"/>
    <n v="8"/>
    <d v="2017-06-08T00:00:00"/>
    <n v="34.19"/>
    <x v="9"/>
    <x v="46"/>
    <n v="8"/>
    <n v="273.52"/>
    <x v="24"/>
    <s v="Papeleta 413/2017"/>
    <m/>
    <m/>
    <x v="0"/>
  </r>
  <r>
    <s v="23083.008817/2015-43"/>
    <s v="025/2016"/>
    <s v="13/07/2016 a 12/07/2017"/>
    <x v="19"/>
    <s v="DEPARTAMENTO DE SOLOS"/>
    <n v="146"/>
    <x v="121"/>
    <x v="2"/>
    <n v="4"/>
    <d v="2017-06-08T00:00:00"/>
    <n v="69.14"/>
    <x v="9"/>
    <x v="43"/>
    <n v="4"/>
    <n v="276.56"/>
    <x v="18"/>
    <s v="Papeleta 381/2017"/>
    <m/>
    <m/>
    <x v="0"/>
  </r>
  <r>
    <s v="23083.008817/2015-43"/>
    <s v="025/2016"/>
    <s v="13/07/2016 a 12/07/2017"/>
    <x v="3"/>
    <s v="DEPARTAMENTO DE BIOLOGIA ANIMAL"/>
    <n v="161"/>
    <x v="134"/>
    <x v="3"/>
    <n v="10"/>
    <d v="2017-06-08T00:00:00"/>
    <n v="15"/>
    <x v="9"/>
    <x v="44"/>
    <n v="10"/>
    <n v="150"/>
    <x v="19"/>
    <s v="Papeleta 364/2017"/>
    <m/>
    <m/>
    <x v="0"/>
  </r>
  <r>
    <s v="23083.008817/2015-43"/>
    <s v="025/2016"/>
    <s v="13/07/2016 a 12/07/2017"/>
    <x v="3"/>
    <s v="DEPARTAMENTO DE BIOLOGIA ANIMAL"/>
    <n v="162"/>
    <x v="135"/>
    <x v="3"/>
    <n v="10"/>
    <d v="2017-06-08T00:00:00"/>
    <n v="12"/>
    <x v="9"/>
    <x v="44"/>
    <n v="10"/>
    <n v="120"/>
    <x v="19"/>
    <s v="Papeleta 364/2017"/>
    <m/>
    <m/>
    <x v="0"/>
  </r>
  <r>
    <s v="23083.008817/2015-43"/>
    <s v="025/2016"/>
    <s v="13/07/2016 a 12/07/2017"/>
    <x v="3"/>
    <s v="DEPARTAMENTO DE BIOLOGIA ANIMAL"/>
    <n v="90"/>
    <x v="136"/>
    <x v="3"/>
    <n v="6"/>
    <d v="2017-06-08T00:00:00"/>
    <n v="3.35"/>
    <x v="9"/>
    <x v="45"/>
    <n v="6"/>
    <n v="20.100000000000001"/>
    <x v="25"/>
    <s v="Papeleta 473/2017"/>
    <m/>
    <m/>
    <x v="0"/>
  </r>
  <r>
    <s v="23083.008817/2015-43"/>
    <s v="025/2016"/>
    <s v="13/07/2016 a 12/07/2017"/>
    <x v="3"/>
    <s v="DEPARTAMENTO DE BIOLOGIA ANIMAL"/>
    <n v="89"/>
    <x v="137"/>
    <x v="3"/>
    <n v="1"/>
    <d v="2017-06-08T00:00:00"/>
    <n v="4.6100000000000003"/>
    <x v="9"/>
    <x v="45"/>
    <n v="1"/>
    <n v="4.6100000000000003"/>
    <x v="25"/>
    <s v="Papeleta 473/2017"/>
    <m/>
    <m/>
    <x v="0"/>
  </r>
  <r>
    <s v="23083.008817/2015-43"/>
    <s v="025/2016"/>
    <s v="13/07/2016 a 12/07/2017"/>
    <x v="3"/>
    <s v="DEPARTAMENTO DE BIOLOGIA ANIMAL"/>
    <n v="94"/>
    <x v="138"/>
    <x v="3"/>
    <n v="6"/>
    <d v="2017-06-08T00:00:00"/>
    <n v="4.49"/>
    <x v="9"/>
    <x v="45"/>
    <n v="6"/>
    <n v="26.94"/>
    <x v="25"/>
    <s v="Papeleta 473/2017"/>
    <m/>
    <m/>
    <x v="0"/>
  </r>
  <r>
    <s v="23083.008817/2015-43"/>
    <s v="025/2016"/>
    <s v="13/07/2016 a 12/07/2017"/>
    <x v="3"/>
    <s v="DEPARTAMENTO DE BIOLOGIA ANIMAL"/>
    <n v="92"/>
    <x v="141"/>
    <x v="3"/>
    <n v="6"/>
    <d v="2017-06-08T00:00:00"/>
    <n v="5.12"/>
    <x v="9"/>
    <x v="45"/>
    <n v="6"/>
    <n v="30.72"/>
    <x v="25"/>
    <s v="Papeleta 473/2017"/>
    <m/>
    <m/>
    <x v="0"/>
  </r>
  <r>
    <s v="23083.008817/2015-43"/>
    <s v="025/2016"/>
    <s v="13/07/2016 a 12/07/2017"/>
    <x v="3"/>
    <s v="DEPARTAMENTO DE BIOLOGIA ANIMAL"/>
    <n v="128"/>
    <x v="111"/>
    <x v="3"/>
    <n v="3"/>
    <d v="2017-06-08T00:00:00"/>
    <n v="34.19"/>
    <x v="9"/>
    <x v="46"/>
    <n v="3"/>
    <n v="102.57"/>
    <x v="24"/>
    <s v="Papeleta 413/2017"/>
    <m/>
    <m/>
    <x v="0"/>
  </r>
  <r>
    <s v="23083.008817/2015-43"/>
    <s v="025/2016"/>
    <s v="13/07/2016 a 12/07/2017"/>
    <x v="20"/>
    <s v="DEPARTAMENTO DE CIÊNCIAS FARMACÊUTICAS"/>
    <n v="162"/>
    <x v="135"/>
    <x v="4"/>
    <n v="10"/>
    <d v="2017-06-08T00:00:00"/>
    <n v="12"/>
    <x v="9"/>
    <x v="44"/>
    <n v="10"/>
    <n v="120"/>
    <x v="19"/>
    <s v="Papeleta 364/2017"/>
    <m/>
    <m/>
    <x v="0"/>
  </r>
  <r>
    <s v="23083.008817/2015-43"/>
    <s v="025/2016"/>
    <s v="13/07/2016 a 12/07/2017"/>
    <x v="20"/>
    <s v="DEPARTAMENTO DE CIÊNCIAS FARMACÊUTICAS"/>
    <n v="13"/>
    <x v="101"/>
    <x v="4"/>
    <n v="2"/>
    <d v="2017-06-08T00:00:00"/>
    <n v="296.99"/>
    <x v="9"/>
    <x v="47"/>
    <n v="2"/>
    <n v="593.98"/>
    <x v="21"/>
    <s v="Papeleta 392/2017"/>
    <m/>
    <m/>
    <x v="0"/>
  </r>
  <r>
    <s v="23083.008817/2015-43"/>
    <s v="025/2016"/>
    <s v="13/07/2016 a 12/07/2017"/>
    <x v="20"/>
    <s v="DEPARTAMENTO DE CIÊNCIAS FARMACÊUTICAS"/>
    <n v="54"/>
    <x v="142"/>
    <x v="4"/>
    <n v="5"/>
    <d v="2017-06-08T00:00:00"/>
    <n v="5.93"/>
    <x v="9"/>
    <x v="45"/>
    <n v="5"/>
    <n v="29.65"/>
    <x v="25"/>
    <s v="Papeleta 473/2017"/>
    <m/>
    <m/>
    <x v="0"/>
  </r>
  <r>
    <s v="23083.008817/2015-43"/>
    <s v="025/2016"/>
    <s v="13/07/2016 a 12/07/2017"/>
    <x v="20"/>
    <s v="DEPARTAMENTO DE CIÊNCIAS FARMACÊUTICAS"/>
    <n v="59"/>
    <x v="143"/>
    <x v="4"/>
    <n v="5"/>
    <d v="2017-06-08T00:00:00"/>
    <n v="6.47"/>
    <x v="9"/>
    <x v="45"/>
    <n v="5"/>
    <n v="32.35"/>
    <x v="25"/>
    <s v="Papeleta 473/2017"/>
    <m/>
    <m/>
    <x v="0"/>
  </r>
  <r>
    <s v="23083.008817/2015-43"/>
    <s v="025/2016"/>
    <s v="13/07/2016 a 12/07/2017"/>
    <x v="20"/>
    <s v="DEPARTAMENTO DE CIÊNCIAS FARMACÊUTICAS"/>
    <n v="77"/>
    <x v="144"/>
    <x v="4"/>
    <n v="1"/>
    <d v="2017-06-08T00:00:00"/>
    <n v="457.9"/>
    <x v="9"/>
    <x v="48"/>
    <n v="1"/>
    <n v="457.9"/>
    <x v="18"/>
    <s v="Papeleta 421/2017"/>
    <m/>
    <m/>
    <x v="0"/>
  </r>
  <r>
    <s v="23083.008817/2015-43"/>
    <s v="025/2016"/>
    <s v="13/07/2016 a 12/07/2017"/>
    <x v="20"/>
    <s v="DEPARTAMENTO DE CIÊNCIAS FARMACÊUTICAS"/>
    <n v="169"/>
    <x v="108"/>
    <x v="4"/>
    <n v="2"/>
    <d v="2017-06-08T00:00:00"/>
    <n v="25"/>
    <x v="9"/>
    <x v="49"/>
    <n v="2"/>
    <n v="50"/>
    <x v="26"/>
    <s v="Papeleta 382/2017"/>
    <m/>
    <m/>
    <x v="0"/>
  </r>
  <r>
    <s v="23083.008817/2015-43"/>
    <s v="025/2016"/>
    <s v="13/07/2016 a 12/07/2017"/>
    <x v="20"/>
    <s v="DEPARTAMENTO DE CIÊNCIAS FARMACÊUTICAS"/>
    <n v="90"/>
    <x v="136"/>
    <x v="4"/>
    <n v="10"/>
    <d v="2017-06-08T00:00:00"/>
    <n v="3.35"/>
    <x v="9"/>
    <x v="45"/>
    <n v="10"/>
    <n v="33.5"/>
    <x v="25"/>
    <s v="Papeleta 473/2017"/>
    <m/>
    <m/>
    <x v="0"/>
  </r>
  <r>
    <s v="23083.008817/2015-43"/>
    <s v="025/2016"/>
    <s v="13/07/2016 a 12/07/2017"/>
    <x v="20"/>
    <s v="DEPARTAMENTO DE CIÊNCIAS FARMACÊUTICAS"/>
    <n v="94"/>
    <x v="138"/>
    <x v="4"/>
    <n v="10"/>
    <d v="2017-06-08T00:00:00"/>
    <n v="4.49"/>
    <x v="9"/>
    <x v="45"/>
    <n v="10"/>
    <n v="44.900000000000006"/>
    <x v="25"/>
    <s v="Papeleta 473/2017"/>
    <m/>
    <m/>
    <x v="0"/>
  </r>
  <r>
    <s v="23083.008817/2015-43"/>
    <s v="025/2016"/>
    <s v="13/07/2016 a 12/07/2017"/>
    <x v="20"/>
    <s v="DEPARTAMENTO DE CIÊNCIAS FARMACÊUTICAS"/>
    <n v="92"/>
    <x v="141"/>
    <x v="4"/>
    <n v="10"/>
    <d v="2017-06-08T00:00:00"/>
    <n v="5.12"/>
    <x v="9"/>
    <x v="45"/>
    <n v="10"/>
    <n v="51.2"/>
    <x v="25"/>
    <s v="Papeleta 473/2017"/>
    <m/>
    <m/>
    <x v="0"/>
  </r>
  <r>
    <s v="23083.008817/2015-43"/>
    <s v="025/2016"/>
    <s v="13/07/2016 a 12/07/2017"/>
    <x v="20"/>
    <s v="DEPARTAMENTO DE CIÊNCIAS FARMACÊUTICAS"/>
    <n v="122"/>
    <x v="110"/>
    <x v="4"/>
    <n v="10"/>
    <d v="2017-06-08T00:00:00"/>
    <n v="21.65"/>
    <x v="9"/>
    <x v="50"/>
    <n v="10"/>
    <n v="216.5"/>
    <x v="23"/>
    <s v="Papeleta 467/2017"/>
    <m/>
    <m/>
    <x v="0"/>
  </r>
  <r>
    <s v="23083.008817/2015-43"/>
    <s v="025/2016"/>
    <s v="13/07/2016 a 12/07/2017"/>
    <x v="20"/>
    <s v="DEPARTAMENTO DE CIÊNCIAS FARMACÊUTICAS"/>
    <n v="170"/>
    <x v="123"/>
    <x v="4"/>
    <n v="100"/>
    <d v="2017-06-08T00:00:00"/>
    <n v="0.5"/>
    <x v="9"/>
    <x v="43"/>
    <n v="100"/>
    <n v="50"/>
    <x v="18"/>
    <s v="Papeleta 381/2017"/>
    <m/>
    <m/>
    <x v="0"/>
  </r>
  <r>
    <s v="23083.008817/2015-43"/>
    <s v="025/2016"/>
    <s v="13/07/2016 a 12/07/2017"/>
    <x v="20"/>
    <s v="DEPARTAMENTO DE CIÊNCIAS FARMACÊUTICAS"/>
    <n v="146"/>
    <x v="121"/>
    <x v="4"/>
    <n v="2"/>
    <d v="2017-06-08T00:00:00"/>
    <n v="69.14"/>
    <x v="9"/>
    <x v="43"/>
    <n v="2"/>
    <n v="138.28"/>
    <x v="18"/>
    <s v="Papeleta 381/2017"/>
    <m/>
    <m/>
    <x v="0"/>
  </r>
  <r>
    <s v="23083.008817/2015-43"/>
    <s v="025/2016"/>
    <s v="13/07/2016 a 12/07/2017"/>
    <x v="21"/>
    <s v="DEPARTAMENTO DE ENGENHARIA QUIMICA"/>
    <n v="43"/>
    <x v="103"/>
    <x v="5"/>
    <n v="5"/>
    <d v="2017-06-05T00:00:00"/>
    <n v="1.82"/>
    <x v="9"/>
    <x v="51"/>
    <n v="5"/>
    <n v="9.1"/>
    <x v="19"/>
    <s v="Papeleta 380/2017"/>
    <m/>
    <m/>
    <x v="0"/>
  </r>
  <r>
    <s v="23083.008817/2015-43"/>
    <s v="025/2016"/>
    <s v="13/07/2016 a 12/07/2017"/>
    <x v="21"/>
    <s v="DEPARTAMENTO DE ENGENHARIA QUIMICA"/>
    <n v="47"/>
    <x v="104"/>
    <x v="5"/>
    <n v="5"/>
    <d v="2017-06-05T00:00:00"/>
    <n v="3.95"/>
    <x v="9"/>
    <x v="51"/>
    <n v="5"/>
    <n v="19.75"/>
    <x v="19"/>
    <s v="Papeleta 380/2017"/>
    <m/>
    <m/>
    <x v="0"/>
  </r>
  <r>
    <s v="23083.008817/2015-43"/>
    <s v="025/2016"/>
    <s v="13/07/2016 a 12/07/2017"/>
    <x v="21"/>
    <s v="DEPARTAMENTO DE ENGENHARIA QUIMICA"/>
    <n v="48"/>
    <x v="106"/>
    <x v="5"/>
    <n v="5"/>
    <d v="2017-06-05T00:00:00"/>
    <n v="2.29"/>
    <x v="9"/>
    <x v="51"/>
    <n v="5"/>
    <n v="11.45"/>
    <x v="19"/>
    <s v="Papeleta 380/2017"/>
    <m/>
    <m/>
    <x v="0"/>
  </r>
  <r>
    <s v="23083.008817/2015-43"/>
    <s v="025/2016"/>
    <s v="13/07/2016 a 12/07/2017"/>
    <x v="21"/>
    <s v="DEPARTAMENTO DE ENGENHARIA QUIMICA"/>
    <n v="92"/>
    <x v="141"/>
    <x v="5"/>
    <n v="1"/>
    <d v="2017-06-05T00:00:00"/>
    <n v="5.12"/>
    <x v="9"/>
    <x v="45"/>
    <n v="1"/>
    <n v="5.12"/>
    <x v="25"/>
    <s v="Papeleta 473/2017"/>
    <m/>
    <m/>
    <x v="0"/>
  </r>
  <r>
    <s v="23083.008817/2015-43"/>
    <s v="025/2016"/>
    <s v="13/07/2016 a 12/07/2017"/>
    <x v="21"/>
    <s v="DEPARTAMENTO DE ENGENHARIA QUIMICA"/>
    <n v="118"/>
    <x v="145"/>
    <x v="5"/>
    <n v="1"/>
    <d v="2017-06-05T00:00:00"/>
    <n v="525.98"/>
    <x v="9"/>
    <x v="48"/>
    <n v="1"/>
    <n v="525.98"/>
    <x v="18"/>
    <s v="Papeleta 421/2017"/>
    <m/>
    <m/>
    <x v="0"/>
  </r>
  <r>
    <s v="23083.008817/2015-43"/>
    <s v="025/2016"/>
    <s v="13/07/2016 a 12/07/2017"/>
    <x v="21"/>
    <s v="DEPARTAMENTO DE ENGENHARIA QUIMICA"/>
    <n v="125"/>
    <x v="109"/>
    <x v="5"/>
    <n v="1"/>
    <d v="2017-06-05T00:00:00"/>
    <n v="88.53"/>
    <x v="9"/>
    <x v="50"/>
    <n v="1"/>
    <n v="88.53"/>
    <x v="23"/>
    <s v="Papeleta 467/2017"/>
    <m/>
    <m/>
    <x v="0"/>
  </r>
  <r>
    <s v="23083.008817/2015-43"/>
    <s v="025/2016"/>
    <s v="13/07/2016 a 12/07/2017"/>
    <x v="21"/>
    <s v="DEPARTAMENTO DE ENGENHARIA QUIMICA"/>
    <n v="122"/>
    <x v="110"/>
    <x v="5"/>
    <n v="1"/>
    <d v="2017-06-05T00:00:00"/>
    <n v="21.65"/>
    <x v="9"/>
    <x v="50"/>
    <n v="1"/>
    <n v="21.65"/>
    <x v="23"/>
    <s v="Papeleta 467/2017"/>
    <m/>
    <m/>
    <x v="0"/>
  </r>
  <r>
    <s v="23083.008817/2015-43"/>
    <s v="025/2016"/>
    <s v="13/07/2016 a 12/07/2017"/>
    <x v="21"/>
    <s v="DEPARTAMENTO DE ENGENHARIA QUIMICA"/>
    <n v="127"/>
    <x v="133"/>
    <x v="5"/>
    <n v="1"/>
    <d v="2017-06-05T00:00:00"/>
    <n v="170"/>
    <x v="9"/>
    <x v="46"/>
    <n v="1"/>
    <n v="170"/>
    <x v="24"/>
    <s v="Papeleta 413/2017"/>
    <m/>
    <m/>
    <x v="0"/>
  </r>
  <r>
    <s v="23083.008817/2015-43"/>
    <s v="025/2016"/>
    <s v="13/07/2016 a 12/07/2017"/>
    <x v="21"/>
    <s v="DEPARTAMENTO DE ENGENHARIA QUIMICA"/>
    <n v="128"/>
    <x v="111"/>
    <x v="5"/>
    <n v="1"/>
    <d v="2017-06-05T00:00:00"/>
    <n v="34.19"/>
    <x v="9"/>
    <x v="46"/>
    <n v="1"/>
    <n v="34.19"/>
    <x v="24"/>
    <s v="Papeleta 413/2017"/>
    <m/>
    <m/>
    <x v="0"/>
  </r>
  <r>
    <s v="23083.008817/2015-43"/>
    <s v="025/2016"/>
    <s v="13/07/2016 a 12/07/2017"/>
    <x v="21"/>
    <s v="DEPARTAMENTO DE ENGENHARIA QUIMICA"/>
    <n v="141"/>
    <x v="112"/>
    <x v="5"/>
    <n v="1"/>
    <d v="2017-06-05T00:00:00"/>
    <n v="7.0000000000000007E-2"/>
    <x v="9"/>
    <x v="9"/>
    <m/>
    <m/>
    <x v="6"/>
    <m/>
    <m/>
    <m/>
    <x v="8"/>
  </r>
  <r>
    <s v="23083.008817/2015-43"/>
    <s v="025/2016"/>
    <s v="13/07/2016 a 12/07/2017"/>
    <x v="22"/>
    <s v="DEPARTAMENTO DE EPIDEMIOLOGIA E SAUDE PUBLICA"/>
    <n v="161"/>
    <x v="134"/>
    <x v="6"/>
    <n v="2"/>
    <d v="2017-06-08T00:00:00"/>
    <n v="15"/>
    <x v="9"/>
    <x v="44"/>
    <n v="2"/>
    <n v="30"/>
    <x v="19"/>
    <s v="Papeleta 364/2017"/>
    <m/>
    <m/>
    <x v="0"/>
  </r>
  <r>
    <s v="23083.008817/2015-43"/>
    <s v="025/2016"/>
    <s v="13/07/2016 a 12/07/2017"/>
    <x v="22"/>
    <s v="DEPARTAMENTO DE EPIDEMIOLOGIA E SAUDE PUBLICA"/>
    <n v="162"/>
    <x v="135"/>
    <x v="6"/>
    <n v="2"/>
    <d v="2017-06-08T00:00:00"/>
    <n v="12"/>
    <x v="9"/>
    <x v="44"/>
    <n v="2"/>
    <n v="24"/>
    <x v="19"/>
    <s v="Papeleta 364/2017"/>
    <m/>
    <m/>
    <x v="0"/>
  </r>
  <r>
    <s v="23083.008817/2015-43"/>
    <s v="025/2016"/>
    <s v="13/07/2016 a 12/07/2017"/>
    <x v="22"/>
    <s v="DEPARTAMENTO DE EPIDEMIOLOGIA E SAUDE PUBLICA"/>
    <n v="28"/>
    <x v="146"/>
    <x v="6"/>
    <n v="1"/>
    <d v="2017-06-08T00:00:00"/>
    <n v="120"/>
    <x v="9"/>
    <x v="52"/>
    <n v="1"/>
    <n v="120"/>
    <x v="27"/>
    <s v="Papeleta 363/2017"/>
    <m/>
    <m/>
    <x v="0"/>
  </r>
  <r>
    <s v="23083.008817/2015-43"/>
    <s v="025/2016"/>
    <s v="13/07/2016 a 12/07/2017"/>
    <x v="22"/>
    <s v="DEPARTAMENTO DE EPIDEMIOLOGIA E SAUDE PUBLICA"/>
    <n v="47"/>
    <x v="104"/>
    <x v="6"/>
    <n v="1"/>
    <d v="2017-06-08T00:00:00"/>
    <n v="3.95"/>
    <x v="9"/>
    <x v="51"/>
    <n v="1"/>
    <n v="3.95"/>
    <x v="19"/>
    <s v="Papeleta 380/2017"/>
    <m/>
    <m/>
    <x v="0"/>
  </r>
  <r>
    <s v="23083.008817/2015-43"/>
    <s v="025/2016"/>
    <s v="13/07/2016 a 12/07/2017"/>
    <x v="22"/>
    <s v="DEPARTAMENTO DE EPIDEMIOLOGIA E SAUDE PUBLICA"/>
    <n v="50"/>
    <x v="115"/>
    <x v="6"/>
    <n v="1"/>
    <d v="2017-06-08T00:00:00"/>
    <n v="2.17"/>
    <x v="9"/>
    <x v="51"/>
    <n v="1"/>
    <n v="2.17"/>
    <x v="19"/>
    <s v="Papeleta 380/2017"/>
    <m/>
    <m/>
    <x v="0"/>
  </r>
  <r>
    <s v="23083.008817/2015-43"/>
    <s v="025/2016"/>
    <s v="13/07/2016 a 12/07/2017"/>
    <x v="22"/>
    <s v="DEPARTAMENTO DE EPIDEMIOLOGIA E SAUDE PUBLICA"/>
    <n v="60"/>
    <x v="131"/>
    <x v="6"/>
    <n v="1"/>
    <d v="2017-06-08T00:00:00"/>
    <n v="33.4"/>
    <x v="9"/>
    <x v="50"/>
    <n v="1"/>
    <n v="33.4"/>
    <x v="23"/>
    <s v="Papeleta 467/2017"/>
    <m/>
    <m/>
    <x v="0"/>
  </r>
  <r>
    <s v="23083.008817/2015-43"/>
    <s v="025/2016"/>
    <s v="13/07/2016 a 12/07/2017"/>
    <x v="22"/>
    <s v="DEPARTAMENTO DE EPIDEMIOLOGIA E SAUDE PUBLICA"/>
    <n v="69"/>
    <x v="114"/>
    <x v="6"/>
    <n v="6"/>
    <d v="2017-06-08T00:00:00"/>
    <n v="4.32"/>
    <x v="9"/>
    <x v="50"/>
    <n v="6"/>
    <n v="25.92"/>
    <x v="23"/>
    <s v="Papeleta 467/2017"/>
    <m/>
    <m/>
    <x v="0"/>
  </r>
  <r>
    <s v="23083.008817/2015-43"/>
    <s v="025/2016"/>
    <s v="13/07/2016 a 12/07/2017"/>
    <x v="22"/>
    <s v="DEPARTAMENTO DE EPIDEMIOLOGIA E SAUDE PUBLICA"/>
    <n v="169"/>
    <x v="108"/>
    <x v="6"/>
    <n v="1"/>
    <d v="2017-06-08T00:00:00"/>
    <n v="25"/>
    <x v="9"/>
    <x v="49"/>
    <n v="1"/>
    <n v="25"/>
    <x v="26"/>
    <s v="Papeleta 382/2017"/>
    <m/>
    <m/>
    <x v="0"/>
  </r>
  <r>
    <s v="23083.008817/2015-43"/>
    <s v="025/2016"/>
    <s v="13/07/2016 a 12/07/2017"/>
    <x v="22"/>
    <s v="DEPARTAMENTO DE EPIDEMIOLOGIA E SAUDE PUBLICA"/>
    <n v="125"/>
    <x v="109"/>
    <x v="6"/>
    <n v="1"/>
    <d v="2017-06-08T00:00:00"/>
    <n v="88.53"/>
    <x v="9"/>
    <x v="50"/>
    <n v="1"/>
    <n v="88.53"/>
    <x v="23"/>
    <s v="Papeleta 467/2017"/>
    <m/>
    <m/>
    <x v="0"/>
  </r>
  <r>
    <s v="23083.008817/2015-43"/>
    <s v="025/2016"/>
    <s v="13/07/2016 a 12/07/2017"/>
    <x v="22"/>
    <s v="DEPARTAMENTO DE EPIDEMIOLOGIA E SAUDE PUBLICA"/>
    <n v="122"/>
    <x v="110"/>
    <x v="6"/>
    <n v="2"/>
    <d v="2017-06-08T00:00:00"/>
    <n v="21.65"/>
    <x v="9"/>
    <x v="50"/>
    <n v="2"/>
    <n v="43.3"/>
    <x v="23"/>
    <s v="Papeleta 467/2017"/>
    <m/>
    <m/>
    <x v="0"/>
  </r>
  <r>
    <s v="23083.008817/2015-43"/>
    <s v="025/2016"/>
    <s v="13/07/2016 a 12/07/2017"/>
    <x v="22"/>
    <s v="DEPARTAMENTO DE EPIDEMIOLOGIA E SAUDE PUBLICA"/>
    <n v="128"/>
    <x v="111"/>
    <x v="6"/>
    <n v="1"/>
    <d v="2017-06-08T00:00:00"/>
    <n v="34.19"/>
    <x v="9"/>
    <x v="46"/>
    <n v="1"/>
    <n v="34.19"/>
    <x v="24"/>
    <s v="Papeleta 413/2017"/>
    <m/>
    <m/>
    <x v="0"/>
  </r>
  <r>
    <s v="23083.008817/2015-43"/>
    <s v="025/2016"/>
    <s v="13/07/2016 a 12/07/2017"/>
    <x v="22"/>
    <s v="DEPARTAMENTO DE EPIDEMIOLOGIA E SAUDE PUBLICA"/>
    <n v="141"/>
    <x v="112"/>
    <x v="6"/>
    <n v="1"/>
    <d v="2017-06-08T00:00:00"/>
    <n v="7.0000000000000007E-2"/>
    <x v="9"/>
    <x v="9"/>
    <m/>
    <m/>
    <x v="6"/>
    <m/>
    <m/>
    <m/>
    <x v="8"/>
  </r>
  <r>
    <s v="23083.008817/2015-43"/>
    <s v="025/2016"/>
    <s v="13/07/2016 a 12/07/2017"/>
    <x v="22"/>
    <s v="DEPARTAMENTO DE EPIDEMIOLOGIA E SAUDE PUBLICA"/>
    <n v="170"/>
    <x v="123"/>
    <x v="6"/>
    <n v="400"/>
    <d v="2017-06-08T00:00:00"/>
    <n v="0.5"/>
    <x v="9"/>
    <x v="43"/>
    <n v="400"/>
    <n v="200"/>
    <x v="18"/>
    <s v="Papeleta 381/2017"/>
    <m/>
    <m/>
    <x v="0"/>
  </r>
  <r>
    <s v="23083.008817/2015-43"/>
    <s v="025/2016"/>
    <s v="13/07/2016 a 12/07/2017"/>
    <x v="22"/>
    <s v="DEPARTAMENTO DE EPIDEMIOLOGIA E SAUDE PUBLICA"/>
    <n v="146"/>
    <x v="121"/>
    <x v="6"/>
    <n v="3"/>
    <d v="2017-06-08T00:00:00"/>
    <n v="69.14"/>
    <x v="9"/>
    <x v="43"/>
    <n v="3"/>
    <n v="207.42000000000002"/>
    <x v="18"/>
    <s v="Papeleta 381/2017"/>
    <m/>
    <m/>
    <x v="0"/>
  </r>
  <r>
    <s v="23083.008817/2015-43"/>
    <s v="025/2016"/>
    <s v="13/07/2016 a 12/07/2017"/>
    <x v="16"/>
    <s v="DEPARTAMENTO DE MICROBIOLOGIA E IMUNOLOGIA VETERINÁRIA"/>
    <n v="155"/>
    <x v="120"/>
    <x v="7"/>
    <n v="6"/>
    <d v="2017-06-07T00:00:00"/>
    <n v="4.93"/>
    <x v="9"/>
    <x v="43"/>
    <n v="6"/>
    <n v="29.58"/>
    <x v="18"/>
    <s v="Papeleta 381/2017"/>
    <m/>
    <m/>
    <x v="0"/>
  </r>
  <r>
    <s v="23083.008817/2015-43"/>
    <s v="025/2016"/>
    <s v="13/07/2016 a 12/07/2017"/>
    <x v="16"/>
    <s v="DEPARTAMENTO DE MICROBIOLOGIA E IMUNOLOGIA VETERINÁRIA"/>
    <n v="161"/>
    <x v="134"/>
    <x v="7"/>
    <n v="2"/>
    <d v="2017-06-07T00:00:00"/>
    <n v="15"/>
    <x v="9"/>
    <x v="44"/>
    <n v="2"/>
    <n v="30"/>
    <x v="19"/>
    <s v="Papeleta 364/2017"/>
    <m/>
    <m/>
    <x v="0"/>
  </r>
  <r>
    <s v="23083.008817/2015-43"/>
    <s v="025/2016"/>
    <s v="13/07/2016 a 12/07/2017"/>
    <x v="16"/>
    <s v="DEPARTAMENTO DE MICROBIOLOGIA E IMUNOLOGIA VETERINÁRIA"/>
    <n v="162"/>
    <x v="135"/>
    <x v="7"/>
    <n v="2"/>
    <d v="2017-06-07T00:00:00"/>
    <n v="12"/>
    <x v="9"/>
    <x v="44"/>
    <n v="2"/>
    <n v="24"/>
    <x v="19"/>
    <s v="Papeleta 364/2017"/>
    <m/>
    <m/>
    <x v="0"/>
  </r>
  <r>
    <s v="23083.008817/2015-43"/>
    <s v="025/2016"/>
    <s v="13/07/2016 a 12/07/2017"/>
    <x v="16"/>
    <s v="DEPARTAMENTO DE MICROBIOLOGIA E IMUNOLOGIA VETERINÁRIA"/>
    <n v="5"/>
    <x v="122"/>
    <x v="7"/>
    <n v="1"/>
    <d v="2017-06-07T00:00:00"/>
    <n v="3.2"/>
    <x v="9"/>
    <x v="53"/>
    <n v="1"/>
    <n v="3.2"/>
    <x v="28"/>
    <m/>
    <m/>
    <m/>
    <x v="7"/>
  </r>
  <r>
    <s v="23083.008817/2015-43"/>
    <s v="025/2016"/>
    <s v="13/07/2016 a 12/07/2017"/>
    <x v="16"/>
    <s v="DEPARTAMENTO DE MICROBIOLOGIA E IMUNOLOGIA VETERINÁRIA"/>
    <n v="169"/>
    <x v="108"/>
    <x v="7"/>
    <n v="1"/>
    <d v="2017-06-07T00:00:00"/>
    <n v="25"/>
    <x v="9"/>
    <x v="49"/>
    <n v="1"/>
    <n v="25"/>
    <x v="26"/>
    <s v="Papeleta 382/2017"/>
    <m/>
    <m/>
    <x v="0"/>
  </r>
  <r>
    <s v="23083.008817/2015-43"/>
    <s v="025/2016"/>
    <s v="13/07/2016 a 12/07/2017"/>
    <x v="16"/>
    <s v="DEPARTAMENTO DE MICROBIOLOGIA E IMUNOLOGIA VETERINÁRIA"/>
    <n v="122"/>
    <x v="110"/>
    <x v="7"/>
    <n v="1"/>
    <d v="2017-06-07T00:00:00"/>
    <n v="21.65"/>
    <x v="9"/>
    <x v="50"/>
    <n v="1"/>
    <n v="21.65"/>
    <x v="23"/>
    <s v="Papeleta 467/2017"/>
    <m/>
    <m/>
    <x v="0"/>
  </r>
  <r>
    <s v="23083.008817/2015-43"/>
    <s v="025/2016"/>
    <s v="13/07/2016 a 12/07/2017"/>
    <x v="16"/>
    <s v="DEPARTAMENTO DE MICROBIOLOGIA E IMUNOLOGIA VETERINÁRIA"/>
    <n v="141"/>
    <x v="112"/>
    <x v="7"/>
    <n v="1"/>
    <d v="2017-06-07T00:00:00"/>
    <n v="7.0000000000000007E-2"/>
    <x v="9"/>
    <x v="9"/>
    <m/>
    <m/>
    <x v="6"/>
    <m/>
    <m/>
    <m/>
    <x v="8"/>
  </r>
  <r>
    <s v="23083.008817/2015-43"/>
    <s v="025/2016"/>
    <s v="13/07/2016 a 12/07/2017"/>
    <x v="16"/>
    <s v="DEPARTAMENTO DE MICROBIOLOGIA E IMUNOLOGIA VETERINÁRIA"/>
    <n v="146"/>
    <x v="121"/>
    <x v="7"/>
    <n v="1"/>
    <d v="2017-06-07T00:00:00"/>
    <n v="69.14"/>
    <x v="9"/>
    <x v="43"/>
    <n v="1"/>
    <n v="69.14"/>
    <x v="18"/>
    <s v="Papeleta 381/2017"/>
    <m/>
    <m/>
    <x v="0"/>
  </r>
  <r>
    <s v="23083.008817/2015-43"/>
    <s v="025/2016"/>
    <s v="13/07/2016 a 12/07/2017"/>
    <x v="10"/>
    <s v="INSTITUTO DE ZOOTECNIA"/>
    <n v="161"/>
    <x v="134"/>
    <x v="8"/>
    <n v="10"/>
    <d v="2017-06-08T00:00:00"/>
    <n v="15"/>
    <x v="9"/>
    <x v="44"/>
    <n v="10"/>
    <n v="150"/>
    <x v="19"/>
    <s v="Papeleta 364/2017"/>
    <m/>
    <m/>
    <x v="0"/>
  </r>
  <r>
    <s v="23083.008817/2015-43"/>
    <s v="025/2016"/>
    <s v="13/07/2016 a 12/07/2017"/>
    <x v="10"/>
    <s v="INSTITUTO DE ZOOTECNIA"/>
    <n v="162"/>
    <x v="135"/>
    <x v="8"/>
    <n v="10"/>
    <d v="2017-06-08T00:00:00"/>
    <n v="12"/>
    <x v="9"/>
    <x v="44"/>
    <n v="10"/>
    <n v="120"/>
    <x v="19"/>
    <s v="Papeleta 364/2017"/>
    <m/>
    <m/>
    <x v="0"/>
  </r>
  <r>
    <s v="23083.008817/2015-43"/>
    <s v="025/2016"/>
    <s v="13/07/2016 a 12/07/2017"/>
    <x v="10"/>
    <s v="INSTITUTO DE ZOOTECNIA"/>
    <n v="13"/>
    <x v="101"/>
    <x v="8"/>
    <n v="3"/>
    <d v="2017-06-08T00:00:00"/>
    <n v="296.99"/>
    <x v="9"/>
    <x v="47"/>
    <n v="2"/>
    <n v="593.98"/>
    <x v="21"/>
    <s v="Papeleta 392/2017"/>
    <m/>
    <m/>
    <x v="0"/>
  </r>
  <r>
    <s v="23083.008817/2015-43"/>
    <s v="025/2016"/>
    <s v="13/07/2016 a 12/07/2017"/>
    <x v="10"/>
    <s v="INSTITUTO DE ZOOTECNIA"/>
    <n v="169"/>
    <x v="108"/>
    <x v="8"/>
    <n v="3"/>
    <d v="2017-06-08T00:00:00"/>
    <n v="25"/>
    <x v="9"/>
    <x v="49"/>
    <n v="3"/>
    <n v="75"/>
    <x v="26"/>
    <s v="Papeleta 382/2017"/>
    <m/>
    <m/>
    <x v="0"/>
  </r>
  <r>
    <s v="23083.008817/2015-43"/>
    <s v="025/2016"/>
    <s v="13/07/2016 a 12/07/2017"/>
    <x v="10"/>
    <s v="INSTITUTO DE ZOOTECNIA"/>
    <n v="90"/>
    <x v="136"/>
    <x v="8"/>
    <n v="10"/>
    <d v="2017-06-08T00:00:00"/>
    <n v="3.35"/>
    <x v="9"/>
    <x v="45"/>
    <n v="10"/>
    <n v="33.5"/>
    <x v="25"/>
    <s v="Papeleta 473/2017"/>
    <m/>
    <m/>
    <x v="0"/>
  </r>
  <r>
    <s v="23083.008817/2015-43"/>
    <s v="025/2016"/>
    <s v="13/07/2016 a 12/07/2017"/>
    <x v="10"/>
    <s v="INSTITUTO DE ZOOTECNIA"/>
    <n v="92"/>
    <x v="141"/>
    <x v="8"/>
    <n v="10"/>
    <d v="2017-06-08T00:00:00"/>
    <n v="5.12"/>
    <x v="9"/>
    <x v="45"/>
    <n v="10"/>
    <n v="51.2"/>
    <x v="25"/>
    <s v="Papeleta 473/2017"/>
    <m/>
    <m/>
    <x v="0"/>
  </r>
  <r>
    <s v="23083.008817/2015-43"/>
    <s v="025/2016"/>
    <s v="13/07/2016 a 12/07/2017"/>
    <x v="10"/>
    <s v="INSTITUTO DE ZOOTECNIA"/>
    <n v="118"/>
    <x v="145"/>
    <x v="8"/>
    <n v="1"/>
    <d v="2017-06-08T00:00:00"/>
    <n v="525.98"/>
    <x v="9"/>
    <x v="48"/>
    <n v="1"/>
    <n v="525.98"/>
    <x v="18"/>
    <s v="Papeleta 421/2017"/>
    <m/>
    <m/>
    <x v="0"/>
  </r>
  <r>
    <s v="23083.008817/2015-43"/>
    <s v="025/2016"/>
    <s v="13/07/2016 a 12/07/2017"/>
    <x v="10"/>
    <s v="INSTITUTO DE ZOOTECNIA"/>
    <n v="125"/>
    <x v="109"/>
    <x v="8"/>
    <n v="2"/>
    <d v="2017-06-08T00:00:00"/>
    <n v="88.53"/>
    <x v="9"/>
    <x v="50"/>
    <n v="1"/>
    <n v="88.53"/>
    <x v="23"/>
    <s v="Papeleta 467/2017"/>
    <m/>
    <m/>
    <x v="0"/>
  </r>
  <r>
    <s v="23083.008817/2015-43"/>
    <s v="025/2016"/>
    <s v="13/07/2016 a 12/07/2017"/>
    <x v="10"/>
    <s v="INSTITUTO DE ZOOTECNIA"/>
    <n v="121"/>
    <x v="132"/>
    <x v="8"/>
    <n v="2"/>
    <d v="2017-06-08T00:00:00"/>
    <n v="42.73"/>
    <x v="9"/>
    <x v="50"/>
    <n v="2"/>
    <n v="85.46"/>
    <x v="23"/>
    <s v="Papeleta 467/2017"/>
    <m/>
    <m/>
    <x v="0"/>
  </r>
  <r>
    <s v="23083.008817/2015-43"/>
    <s v="025/2016"/>
    <s v="13/07/2016 a 12/07/2017"/>
    <x v="10"/>
    <s v="INSTITUTO DE ZOOTECNIA"/>
    <n v="122"/>
    <x v="110"/>
    <x v="8"/>
    <n v="10"/>
    <d v="2017-06-08T00:00:00"/>
    <n v="21.65"/>
    <x v="9"/>
    <x v="50"/>
    <n v="10"/>
    <n v="216.5"/>
    <x v="23"/>
    <s v="Papeleta 467/2017"/>
    <m/>
    <m/>
    <x v="0"/>
  </r>
  <r>
    <s v="23083.008817/2015-43"/>
    <s v="025/2016"/>
    <s v="13/07/2016 a 12/07/2017"/>
    <x v="10"/>
    <s v="INSTITUTO DE ZOOTECNIA"/>
    <n v="127"/>
    <x v="133"/>
    <x v="8"/>
    <n v="7"/>
    <d v="2017-06-08T00:00:00"/>
    <n v="170"/>
    <x v="9"/>
    <x v="46"/>
    <n v="7"/>
    <n v="1190"/>
    <x v="24"/>
    <s v="Papeleta 413/2017"/>
    <m/>
    <m/>
    <x v="0"/>
  </r>
  <r>
    <s v="23083.008817/2015-43"/>
    <s v="025/2016"/>
    <s v="13/07/2016 a 12/07/2017"/>
    <x v="10"/>
    <s v="INSTITUTO DE ZOOTECNIA"/>
    <n v="128"/>
    <x v="111"/>
    <x v="8"/>
    <n v="18"/>
    <d v="2017-06-08T00:00:00"/>
    <n v="34.19"/>
    <x v="9"/>
    <x v="46"/>
    <n v="18"/>
    <n v="615.41999999999996"/>
    <x v="24"/>
    <s v="Papeleta 413/2017"/>
    <m/>
    <m/>
    <x v="0"/>
  </r>
  <r>
    <s v="23083.008817/2015-43"/>
    <s v="025/2016"/>
    <s v="13/07/2016 a 12/07/2017"/>
    <x v="10"/>
    <s v="INSTITUTO DE ZOOTECNIA"/>
    <n v="141"/>
    <x v="112"/>
    <x v="8"/>
    <n v="1"/>
    <d v="2017-06-08T00:00:00"/>
    <n v="7.0000000000000007E-2"/>
    <x v="9"/>
    <x v="9"/>
    <m/>
    <m/>
    <x v="6"/>
    <m/>
    <m/>
    <m/>
    <x v="8"/>
  </r>
  <r>
    <s v="23083.008817/2015-43"/>
    <s v="025/2016"/>
    <s v="13/07/2016 a 12/07/2017"/>
    <x v="10"/>
    <s v="INSTITUTO DE ZOOTECNIA"/>
    <n v="170"/>
    <x v="123"/>
    <x v="8"/>
    <n v="2"/>
    <d v="2017-06-08T00:00:00"/>
    <n v="0.5"/>
    <x v="9"/>
    <x v="43"/>
    <n v="2"/>
    <n v="1"/>
    <x v="18"/>
    <s v="Papeleta 381/2017"/>
    <m/>
    <m/>
    <x v="0"/>
  </r>
  <r>
    <s v="23083.008817/2015-43"/>
    <s v="025/2016"/>
    <s v="13/07/2016 a 12/07/2017"/>
    <x v="10"/>
    <s v="INSTITUTO DE ZOOTECNIA"/>
    <n v="151"/>
    <x v="116"/>
    <x v="8"/>
    <n v="25"/>
    <d v="2017-06-08T00:00:00"/>
    <n v="3.99"/>
    <x v="9"/>
    <x v="50"/>
    <n v="10"/>
    <n v="39.900000000000006"/>
    <x v="23"/>
    <s v="Papeleta 467/2017"/>
    <m/>
    <m/>
    <x v="0"/>
  </r>
  <r>
    <s v="23083.008817/2015-43"/>
    <s v="025/2016"/>
    <s v="13/07/2016 a 12/07/2017"/>
    <x v="23"/>
    <s v="CAMPUS DA UFRRJ EM TRES RIOS"/>
    <n v="161"/>
    <x v="134"/>
    <x v="9"/>
    <n v="3"/>
    <d v="2017-06-12T00:00:00"/>
    <n v="15"/>
    <x v="9"/>
    <x v="44"/>
    <n v="3"/>
    <n v="45"/>
    <x v="19"/>
    <s v="Papeleta 364/2017"/>
    <m/>
    <m/>
    <x v="0"/>
  </r>
  <r>
    <s v="23083.008817/2015-43"/>
    <s v="025/2016"/>
    <s v="13/07/2016 a 12/07/2017"/>
    <x v="23"/>
    <s v="CAMPUS DA UFRRJ EM TRES RIOS"/>
    <n v="162"/>
    <x v="135"/>
    <x v="9"/>
    <n v="2"/>
    <d v="2017-06-12T00:00:00"/>
    <n v="12"/>
    <x v="9"/>
    <x v="44"/>
    <n v="2"/>
    <n v="24"/>
    <x v="19"/>
    <s v="Papeleta 364/2017"/>
    <m/>
    <m/>
    <x v="0"/>
  </r>
  <r>
    <s v="23083.008817/2015-43"/>
    <s v="025/2016"/>
    <s v="13/07/2016 a 12/07/2017"/>
    <x v="23"/>
    <s v="CAMPUS DA UFRRJ EM TRES RIOS"/>
    <n v="1"/>
    <x v="147"/>
    <x v="9"/>
    <n v="1"/>
    <d v="2017-06-12T00:00:00"/>
    <n v="399"/>
    <x v="9"/>
    <x v="50"/>
    <n v="1"/>
    <n v="399"/>
    <x v="23"/>
    <s v="Papeleta 467/2017"/>
    <m/>
    <m/>
    <x v="0"/>
  </r>
  <r>
    <s v="23083.008817/2015-43"/>
    <s v="025/2016"/>
    <s v="13/07/2016 a 12/07/2017"/>
    <x v="23"/>
    <s v="CAMPUS DA UFRRJ EM TRES RIOS"/>
    <n v="5"/>
    <x v="122"/>
    <x v="9"/>
    <n v="30"/>
    <d v="2017-06-12T00:00:00"/>
    <n v="3.2"/>
    <x v="9"/>
    <x v="53"/>
    <n v="30"/>
    <n v="96"/>
    <x v="28"/>
    <m/>
    <m/>
    <m/>
    <x v="7"/>
  </r>
  <r>
    <s v="23083.008817/2015-43"/>
    <s v="025/2016"/>
    <s v="13/07/2016 a 12/07/2017"/>
    <x v="23"/>
    <s v="CAMPUS DA UFRRJ EM TRES RIOS"/>
    <n v="4"/>
    <x v="117"/>
    <x v="9"/>
    <n v="10"/>
    <d v="2017-06-12T00:00:00"/>
    <n v="689"/>
    <x v="9"/>
    <x v="53"/>
    <n v="10"/>
    <n v="6890"/>
    <x v="28"/>
    <m/>
    <m/>
    <m/>
    <x v="7"/>
  </r>
  <r>
    <s v="23083.008817/2015-43"/>
    <s v="025/2016"/>
    <s v="13/07/2016 a 12/07/2017"/>
    <x v="23"/>
    <s v="CAMPUS DA UFRRJ EM TRES RIOS"/>
    <n v="21"/>
    <x v="102"/>
    <x v="9"/>
    <n v="4"/>
    <d v="2017-06-12T00:00:00"/>
    <n v="113.5"/>
    <x v="9"/>
    <x v="52"/>
    <n v="4"/>
    <n v="454"/>
    <x v="27"/>
    <s v="Papeleta 363/2017"/>
    <m/>
    <m/>
    <x v="0"/>
  </r>
  <r>
    <s v="23083.008817/2015-43"/>
    <s v="025/2016"/>
    <s v="13/07/2016 a 12/07/2017"/>
    <x v="23"/>
    <s v="CAMPUS DA UFRRJ EM TRES RIOS"/>
    <n v="43"/>
    <x v="103"/>
    <x v="9"/>
    <n v="10"/>
    <d v="2017-06-12T00:00:00"/>
    <n v="1.82"/>
    <x v="9"/>
    <x v="51"/>
    <n v="10"/>
    <n v="18.2"/>
    <x v="19"/>
    <s v="Papeleta 380/2017"/>
    <m/>
    <m/>
    <x v="0"/>
  </r>
  <r>
    <s v="23083.008817/2015-43"/>
    <s v="025/2016"/>
    <s v="13/07/2016 a 12/07/2017"/>
    <x v="23"/>
    <s v="CAMPUS DA UFRRJ EM TRES RIOS"/>
    <n v="47"/>
    <x v="104"/>
    <x v="9"/>
    <n v="10"/>
    <d v="2017-06-12T00:00:00"/>
    <n v="3.95"/>
    <x v="9"/>
    <x v="51"/>
    <n v="10"/>
    <n v="39.5"/>
    <x v="19"/>
    <s v="Papeleta 380/2017"/>
    <m/>
    <m/>
    <x v="0"/>
  </r>
  <r>
    <s v="23083.008817/2015-43"/>
    <s v="025/2016"/>
    <s v="13/07/2016 a 12/07/2017"/>
    <x v="23"/>
    <s v="CAMPUS DA UFRRJ EM TRES RIOS"/>
    <n v="48"/>
    <x v="106"/>
    <x v="9"/>
    <n v="10"/>
    <d v="2017-06-12T00:00:00"/>
    <n v="2.29"/>
    <x v="9"/>
    <x v="51"/>
    <n v="10"/>
    <n v="22.9"/>
    <x v="19"/>
    <s v="Papeleta 380/2017"/>
    <m/>
    <m/>
    <x v="0"/>
  </r>
  <r>
    <s v="23083.008817/2015-43"/>
    <s v="025/2016"/>
    <s v="13/07/2016 a 12/07/2017"/>
    <x v="23"/>
    <s v="CAMPUS DA UFRRJ EM TRES RIOS"/>
    <n v="55"/>
    <x v="148"/>
    <x v="9"/>
    <n v="5"/>
    <d v="2017-06-12T00:00:00"/>
    <n v="5.19"/>
    <x v="9"/>
    <x v="45"/>
    <n v="5"/>
    <n v="25.950000000000003"/>
    <x v="25"/>
    <s v="Papeleta 473/2017"/>
    <m/>
    <m/>
    <x v="0"/>
  </r>
  <r>
    <s v="23083.008817/2015-43"/>
    <s v="025/2016"/>
    <s v="13/07/2016 a 12/07/2017"/>
    <x v="23"/>
    <s v="CAMPUS DA UFRRJ EM TRES RIOS"/>
    <n v="67"/>
    <x v="113"/>
    <x v="9"/>
    <n v="10"/>
    <d v="2017-06-12T00:00:00"/>
    <n v="4.41"/>
    <x v="9"/>
    <x v="50"/>
    <n v="4"/>
    <n v="17.64"/>
    <x v="23"/>
    <s v="Papeleta 467/2017"/>
    <m/>
    <m/>
    <x v="0"/>
  </r>
  <r>
    <s v="23083.008817/2015-43"/>
    <s v="025/2016"/>
    <s v="13/07/2016 a 12/07/2017"/>
    <x v="23"/>
    <s v="CAMPUS DA UFRRJ EM TRES RIOS"/>
    <n v="169"/>
    <x v="108"/>
    <x v="9"/>
    <n v="3"/>
    <d v="2017-06-12T00:00:00"/>
    <n v="25"/>
    <x v="9"/>
    <x v="49"/>
    <n v="3"/>
    <n v="75"/>
    <x v="26"/>
    <s v="Papeleta 382/2017"/>
    <m/>
    <m/>
    <x v="0"/>
  </r>
  <r>
    <s v="23083.008817/2015-43"/>
    <s v="025/2016"/>
    <s v="13/07/2016 a 12/07/2017"/>
    <x v="23"/>
    <s v="CAMPUS DA UFRRJ EM TRES RIOS"/>
    <n v="125"/>
    <x v="109"/>
    <x v="9"/>
    <n v="4"/>
    <d v="2017-06-12T00:00:00"/>
    <n v="88.53"/>
    <x v="9"/>
    <x v="50"/>
    <n v="3"/>
    <n v="265.59000000000003"/>
    <x v="23"/>
    <s v="Papeleta 467/2017"/>
    <m/>
    <m/>
    <x v="0"/>
  </r>
  <r>
    <s v="23083.008817/2015-43"/>
    <s v="025/2016"/>
    <s v="13/07/2016 a 12/07/2017"/>
    <x v="23"/>
    <s v="CAMPUS DA UFRRJ EM TRES RIOS"/>
    <n v="122"/>
    <x v="110"/>
    <x v="9"/>
    <n v="4"/>
    <d v="2017-06-12T00:00:00"/>
    <n v="21.65"/>
    <x v="9"/>
    <x v="50"/>
    <n v="4"/>
    <n v="86.6"/>
    <x v="23"/>
    <s v="Papeleta 467/2017"/>
    <m/>
    <m/>
    <x v="0"/>
  </r>
  <r>
    <s v="23083.008817/2015-43"/>
    <s v="025/2016"/>
    <s v="13/07/2016 a 12/07/2017"/>
    <x v="23"/>
    <s v="CAMPUS DA UFRRJ EM TRES RIOS"/>
    <n v="127"/>
    <x v="133"/>
    <x v="9"/>
    <n v="3"/>
    <d v="2017-06-12T00:00:00"/>
    <n v="170"/>
    <x v="9"/>
    <x v="46"/>
    <n v="3"/>
    <n v="510"/>
    <x v="24"/>
    <s v="Papeleta 413/2017"/>
    <m/>
    <m/>
    <x v="0"/>
  </r>
  <r>
    <s v="23083.008817/2015-43"/>
    <s v="025/2016"/>
    <s v="13/07/2016 a 12/07/2017"/>
    <x v="23"/>
    <s v="CAMPUS DA UFRRJ EM TRES RIOS"/>
    <n v="128"/>
    <x v="111"/>
    <x v="9"/>
    <n v="3"/>
    <d v="2017-06-12T00:00:00"/>
    <n v="34.19"/>
    <x v="9"/>
    <x v="46"/>
    <n v="3"/>
    <n v="102.57"/>
    <x v="24"/>
    <s v="Papeleta 413/2017"/>
    <m/>
    <m/>
    <x v="0"/>
  </r>
  <r>
    <s v="23083.008817/2015-43"/>
    <s v="025/2016"/>
    <s v="13/07/2016 a 12/07/2017"/>
    <x v="23"/>
    <s v="CAMPUS DA UFRRJ EM TRES RIOS"/>
    <n v="141"/>
    <x v="112"/>
    <x v="9"/>
    <n v="2"/>
    <d v="2017-06-12T00:00:00"/>
    <n v="7.0000000000000007E-2"/>
    <x v="9"/>
    <x v="9"/>
    <m/>
    <m/>
    <x v="6"/>
    <m/>
    <m/>
    <m/>
    <x v="8"/>
  </r>
  <r>
    <s v="23083.008817/2015-43"/>
    <s v="025/2016"/>
    <s v="13/07/2016 a 12/07/2017"/>
    <x v="23"/>
    <s v="CAMPUS DA UFRRJ EM TRES RIOS"/>
    <n v="149"/>
    <x v="140"/>
    <x v="9"/>
    <n v="20"/>
    <d v="2017-06-12T00:00:00"/>
    <n v="17.48"/>
    <x v="9"/>
    <x v="50"/>
    <n v="20"/>
    <n v="349.6"/>
    <x v="23"/>
    <s v="Papeleta 467/2017"/>
    <m/>
    <m/>
    <x v="0"/>
  </r>
  <r>
    <s v="23083.008817/2015-43"/>
    <s v="025/2016"/>
    <s v="13/07/2016 a 12/07/2017"/>
    <x v="23"/>
    <s v="CAMPUS DA UFRRJ EM TRES RIOS"/>
    <n v="151"/>
    <x v="116"/>
    <x v="9"/>
    <n v="10"/>
    <d v="2017-06-12T00:00:00"/>
    <n v="3.99"/>
    <x v="9"/>
    <x v="50"/>
    <n v="10"/>
    <n v="39.900000000000006"/>
    <x v="23"/>
    <s v="Papeleta 467/2017"/>
    <m/>
    <m/>
    <x v="0"/>
  </r>
  <r>
    <s v="23083.008817/2015-43"/>
    <s v="025/2016"/>
    <s v="13/07/2016 a 12/07/2017"/>
    <x v="23"/>
    <s v="CAMPUS DA UFRRJ EM TRES RIOS"/>
    <n v="150"/>
    <x v="119"/>
    <x v="9"/>
    <n v="10"/>
    <d v="2017-06-12T00:00:00"/>
    <n v="6.5"/>
    <x v="9"/>
    <x v="50"/>
    <n v="10"/>
    <n v="65"/>
    <x v="23"/>
    <s v="Papeleta 467/2017"/>
    <m/>
    <m/>
    <x v="0"/>
  </r>
  <r>
    <s v="23083.008817/2015-43"/>
    <s v="025/2016"/>
    <s v="13/07/2016 a 12/07/2017"/>
    <x v="12"/>
    <s v="INSTITUTO DE CIENCIAS SOCIAIS APLICADAS"/>
    <n v="43"/>
    <x v="103"/>
    <x v="0"/>
    <n v="2"/>
    <d v="2017-06-12T00:00:00"/>
    <n v="1.82"/>
    <x v="9"/>
    <x v="51"/>
    <n v="2"/>
    <n v="3.64"/>
    <x v="19"/>
    <s v="Papeleta 380/2017"/>
    <m/>
    <m/>
    <x v="0"/>
  </r>
  <r>
    <s v="23083.008817/2015-43"/>
    <s v="025/2016"/>
    <s v="13/07/2016 a 12/07/2017"/>
    <x v="12"/>
    <s v="INSTITUTO DE CIENCIAS SOCIAIS APLICADAS"/>
    <n v="50"/>
    <x v="115"/>
    <x v="0"/>
    <n v="1"/>
    <d v="2017-06-12T00:00:00"/>
    <n v="2.17"/>
    <x v="9"/>
    <x v="51"/>
    <n v="1"/>
    <n v="2.17"/>
    <x v="19"/>
    <s v="Papeleta 380/2017"/>
    <m/>
    <m/>
    <x v="0"/>
  </r>
  <r>
    <s v="23083.008817/2015-43"/>
    <s v="025/2016"/>
    <s v="13/07/2016 a 12/07/2017"/>
    <x v="12"/>
    <s v="INSTITUTO DE CIENCIAS SOCIAIS APLICADAS"/>
    <n v="90"/>
    <x v="136"/>
    <x v="0"/>
    <n v="2"/>
    <d v="2017-06-12T00:00:00"/>
    <n v="3.35"/>
    <x v="9"/>
    <x v="45"/>
    <n v="2"/>
    <n v="6.7"/>
    <x v="25"/>
    <s v="Papeleta 473/2017"/>
    <m/>
    <m/>
    <x v="0"/>
  </r>
  <r>
    <s v="23083.008817/2015-43"/>
    <s v="025/2016"/>
    <s v="13/07/2016 a 12/07/2017"/>
    <x v="12"/>
    <s v="INSTITUTO DE CIENCIAS SOCIAIS APLICADAS"/>
    <n v="92"/>
    <x v="141"/>
    <x v="0"/>
    <n v="2"/>
    <d v="2017-06-12T00:00:00"/>
    <n v="5.12"/>
    <x v="9"/>
    <x v="45"/>
    <n v="2"/>
    <n v="10.24"/>
    <x v="25"/>
    <s v="Papeleta 473/2017"/>
    <m/>
    <m/>
    <x v="0"/>
  </r>
  <r>
    <s v="23083.008817/2015-43"/>
    <s v="025/2016"/>
    <s v="13/07/2016 a 12/07/2017"/>
    <x v="12"/>
    <s v="INSTITUTO DE CIENCIAS SOCIAIS APLICADAS"/>
    <n v="121"/>
    <x v="132"/>
    <x v="0"/>
    <n v="1"/>
    <d v="2017-06-12T00:00:00"/>
    <n v="42.73"/>
    <x v="9"/>
    <x v="50"/>
    <n v="1"/>
    <n v="42.73"/>
    <x v="23"/>
    <s v="Papeleta 467/2017"/>
    <m/>
    <m/>
    <x v="0"/>
  </r>
  <r>
    <s v="23083.008817/2015-43"/>
    <s v="025/2016"/>
    <s v="13/07/2016 a 12/07/2017"/>
    <x v="2"/>
    <s v="CAMPUS DA UFRRJ EM TRES RIOS"/>
    <n v="161"/>
    <x v="134"/>
    <x v="0"/>
    <n v="4"/>
    <m/>
    <n v="15"/>
    <x v="9"/>
    <x v="44"/>
    <n v="4"/>
    <n v="60"/>
    <x v="19"/>
    <s v="Papeleta 364/2017"/>
    <m/>
    <m/>
    <x v="0"/>
  </r>
  <r>
    <s v="23083.008817/2015-43"/>
    <s v="025/2016"/>
    <s v="13/07/2016 a 12/07/2017"/>
    <x v="4"/>
    <s v="DEPARTAMENTO DE CIENCIAS FISIOLOGICAS"/>
    <n v="161"/>
    <x v="134"/>
    <x v="0"/>
    <n v="30"/>
    <m/>
    <n v="15"/>
    <x v="9"/>
    <x v="44"/>
    <n v="30"/>
    <n v="450"/>
    <x v="19"/>
    <s v="Papeleta 364/2017"/>
    <m/>
    <m/>
    <x v="0"/>
  </r>
  <r>
    <s v="23083.008817/2015-43"/>
    <s v="025/2016"/>
    <s v="13/07/2016 a 12/07/2017"/>
    <x v="4"/>
    <s v="DEPARTAMENTO DE CIENCIAS FISIOLOGICAS"/>
    <n v="162"/>
    <x v="135"/>
    <x v="0"/>
    <n v="40"/>
    <m/>
    <n v="12"/>
    <x v="9"/>
    <x v="44"/>
    <n v="40"/>
    <n v="480"/>
    <x v="19"/>
    <s v="Papeleta 364/2017"/>
    <m/>
    <m/>
    <x v="0"/>
  </r>
  <r>
    <s v="23083.008817/2015-43"/>
    <s v="025/2016"/>
    <s v="13/07/2016 a 12/07/2017"/>
    <x v="5"/>
    <s v="DEPARTAMENTO DE GENÉTICA"/>
    <n v="161"/>
    <x v="134"/>
    <x v="0"/>
    <n v="1"/>
    <m/>
    <n v="15"/>
    <x v="9"/>
    <x v="44"/>
    <n v="1"/>
    <n v="15"/>
    <x v="19"/>
    <s v="Papeleta 364/2017"/>
    <m/>
    <m/>
    <x v="0"/>
  </r>
  <r>
    <s v="23083.008817/2015-43"/>
    <s v="025/2016"/>
    <s v="13/07/2016 a 12/07/2017"/>
    <x v="8"/>
    <s v="DEPARTAMENTO DE TECNOLOGIA DE ALIMENTOS"/>
    <n v="161"/>
    <x v="134"/>
    <x v="0"/>
    <n v="10"/>
    <m/>
    <n v="15"/>
    <x v="9"/>
    <x v="44"/>
    <n v="10"/>
    <n v="150"/>
    <x v="19"/>
    <s v="Papeleta 364/2017"/>
    <m/>
    <m/>
    <x v="0"/>
  </r>
  <r>
    <s v="23083.008817/2015-43"/>
    <s v="025/2016"/>
    <s v="13/07/2016 a 12/07/2017"/>
    <x v="8"/>
    <s v="DEPARTAMENTO DE TECNOLOGIA DE ALIMENTOS"/>
    <n v="162"/>
    <x v="135"/>
    <x v="0"/>
    <n v="16"/>
    <m/>
    <n v="12"/>
    <x v="9"/>
    <x v="44"/>
    <n v="16"/>
    <n v="192"/>
    <x v="19"/>
    <s v="Papeleta 364/2017"/>
    <m/>
    <m/>
    <x v="0"/>
  </r>
  <r>
    <s v="23083.008817/2015-43"/>
    <s v="025/2016"/>
    <s v="13/07/2016 a 12/07/2017"/>
    <x v="7"/>
    <s v="DEPARTAMENTO DE FÍSICA"/>
    <n v="161"/>
    <x v="134"/>
    <x v="0"/>
    <n v="10"/>
    <m/>
    <n v="15"/>
    <x v="9"/>
    <x v="44"/>
    <n v="10"/>
    <n v="150"/>
    <x v="19"/>
    <s v="Papeleta 364/2017"/>
    <m/>
    <m/>
    <x v="0"/>
  </r>
  <r>
    <s v="23083.008817/2015-43"/>
    <s v="025/2016"/>
    <s v="13/07/2016 a 12/07/2017"/>
    <x v="7"/>
    <s v="DEPARTAMENTO DE FÍSICA"/>
    <n v="162"/>
    <x v="135"/>
    <x v="0"/>
    <n v="10"/>
    <m/>
    <n v="12"/>
    <x v="9"/>
    <x v="44"/>
    <n v="1"/>
    <n v="12"/>
    <x v="19"/>
    <s v="Papeleta 364/2017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x="0"/>
        <item h="1" x="14"/>
        <item h="1" x="15"/>
        <item h="1" x="10"/>
        <item h="1" x="2"/>
        <item h="1" x="13"/>
        <item h="1" x="8"/>
        <item h="1" x="16"/>
        <item h="1" x="9"/>
        <item h="1" x="1"/>
        <item h="1" x="3"/>
        <item h="1" x="4"/>
        <item h="1" x="5"/>
        <item h="1" x="6"/>
        <item h="1" x="7"/>
        <item h="1" x="11"/>
        <item h="1" x="12"/>
        <item h="1" x="17"/>
        <item h="1" x="18"/>
        <item h="1" x="19"/>
        <item h="1" x="20"/>
        <item h="1" x="21"/>
        <item h="1" x="22"/>
        <item h="1"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2"/>
        <item x="3"/>
        <item x="4"/>
        <item m="1" x="9"/>
        <item x="6"/>
        <item m="1" x="10"/>
        <item x="8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62">
    <i>
      <x v="1"/>
      <x/>
      <x v="2"/>
      <x v="1"/>
      <x v="2"/>
      <x/>
    </i>
    <i>
      <x v="2"/>
      <x/>
      <x v="1"/>
      <x v="1"/>
      <x v="1"/>
      <x/>
    </i>
    <i>
      <x v="3"/>
      <x/>
      <x v="12"/>
      <x v="4"/>
      <x v="8"/>
      <x/>
    </i>
    <i>
      <x v="7"/>
      <x/>
      <x v="1"/>
      <x v="1"/>
      <x v="1"/>
      <x/>
    </i>
    <i>
      <x v="12"/>
      <x/>
      <x v="3"/>
      <x v="1"/>
      <x v="3"/>
      <x/>
    </i>
    <i>
      <x v="19"/>
      <x/>
      <x v="12"/>
      <x v="4"/>
      <x v="8"/>
      <x/>
    </i>
    <i>
      <x v="21"/>
      <x/>
      <x v="1"/>
      <x v="1"/>
      <x v="1"/>
      <x/>
    </i>
    <i>
      <x v="22"/>
      <x/>
      <x v="4"/>
      <x v="1"/>
      <x v="4"/>
      <x/>
    </i>
    <i>
      <x v="25"/>
      <x/>
      <x v="11"/>
      <x v="4"/>
      <x v="7"/>
      <x/>
    </i>
    <i>
      <x v="27"/>
      <x/>
      <x v="12"/>
      <x v="4"/>
      <x v="8"/>
      <x/>
    </i>
    <i>
      <x v="29"/>
      <x/>
      <x v="12"/>
      <x v="4"/>
      <x v="8"/>
      <x/>
    </i>
    <i>
      <x v="30"/>
      <x/>
      <x v="12"/>
      <x v="4"/>
      <x v="8"/>
      <x v="3"/>
    </i>
    <i>
      <x v="32"/>
      <x/>
      <x v="1"/>
      <x v="1"/>
      <x v="1"/>
      <x/>
    </i>
    <i>
      <x v="43"/>
      <x/>
      <x v="12"/>
      <x v="4"/>
      <x v="8"/>
      <x/>
    </i>
    <i>
      <x v="44"/>
      <x/>
      <x/>
      <x/>
      <x/>
      <x v="1"/>
    </i>
    <i>
      <x v="46"/>
      <x/>
      <x v="1"/>
      <x v="2"/>
      <x v="1"/>
      <x/>
    </i>
    <i>
      <x v="53"/>
      <x/>
      <x v="1"/>
      <x v="1"/>
      <x v="1"/>
      <x/>
    </i>
    <i>
      <x v="55"/>
      <x/>
      <x v="1"/>
      <x v="1"/>
      <x v="1"/>
      <x/>
    </i>
    <i>
      <x v="56"/>
      <x/>
      <x v="12"/>
      <x v="4"/>
      <x v="8"/>
      <x/>
    </i>
    <i>
      <x v="61"/>
      <x/>
      <x v="1"/>
      <x v="1"/>
      <x v="1"/>
      <x/>
    </i>
    <i>
      <x v="63"/>
      <x/>
      <x v="1"/>
      <x v="1"/>
      <x v="1"/>
      <x/>
    </i>
    <i>
      <x v="66"/>
      <x/>
      <x v="1"/>
      <x v="1"/>
      <x v="1"/>
      <x/>
    </i>
    <i>
      <x v="75"/>
      <x/>
      <x v="1"/>
      <x v="1"/>
      <x v="1"/>
      <x/>
    </i>
    <i>
      <x v="76"/>
      <x/>
      <x v="1"/>
      <x v="1"/>
      <x v="1"/>
      <x/>
    </i>
    <i>
      <x v="80"/>
      <x/>
      <x v="12"/>
      <x v="4"/>
      <x v="8"/>
      <x/>
    </i>
    <i>
      <x v="83"/>
      <x/>
      <x v="2"/>
      <x v="1"/>
      <x v="2"/>
      <x/>
    </i>
    <i>
      <x v="87"/>
      <x/>
      <x v="3"/>
      <x v="1"/>
      <x v="3"/>
      <x/>
    </i>
    <i>
      <x v="91"/>
      <x/>
      <x v="1"/>
      <x v="1"/>
      <x v="1"/>
      <x/>
    </i>
    <i>
      <x v="96"/>
      <x/>
      <x v="12"/>
      <x v="5"/>
      <x v="8"/>
      <x v="3"/>
    </i>
    <i>
      <x v="100"/>
      <x/>
      <x v="19"/>
      <x v="7"/>
      <x v="10"/>
      <x/>
    </i>
    <i>
      <x v="101"/>
      <x/>
      <x v="19"/>
      <x v="7"/>
      <x v="10"/>
      <x/>
    </i>
    <i r="1">
      <x v="1"/>
      <x v="37"/>
      <x v="9"/>
      <x v="21"/>
      <x/>
    </i>
    <i>
      <x v="102"/>
      <x/>
      <x v="20"/>
      <x v="7"/>
      <x v="11"/>
      <x/>
    </i>
    <i>
      <x v="103"/>
      <x/>
      <x v="21"/>
      <x v="7"/>
      <x v="12"/>
      <x/>
    </i>
    <i r="1">
      <x v="1"/>
      <x v="38"/>
      <x v="9"/>
      <x v="19"/>
      <x/>
    </i>
    <i>
      <x v="104"/>
      <x/>
      <x v="21"/>
      <x v="7"/>
      <x v="12"/>
      <x/>
    </i>
    <i>
      <x v="105"/>
      <x/>
      <x v="21"/>
      <x v="7"/>
      <x v="12"/>
      <x/>
    </i>
    <i>
      <x v="106"/>
      <x/>
      <x v="21"/>
      <x v="7"/>
      <x v="12"/>
      <x/>
    </i>
    <i r="1">
      <x v="1"/>
      <x v="38"/>
      <x v="9"/>
      <x v="19"/>
      <x/>
    </i>
    <i>
      <x v="107"/>
      <x/>
      <x v="22"/>
      <x v="7"/>
      <x v="13"/>
      <x/>
    </i>
    <i>
      <x v="108"/>
      <x/>
      <x v="23"/>
      <x v="7"/>
      <x v="14"/>
      <x/>
    </i>
    <i r="1">
      <x v="1"/>
      <x v="39"/>
      <x v="9"/>
      <x v="19"/>
      <x/>
    </i>
    <i>
      <x v="109"/>
      <x/>
      <x v="22"/>
      <x v="7"/>
      <x v="13"/>
      <x/>
    </i>
    <i r="1">
      <x v="1"/>
      <x v="41"/>
      <x v="9"/>
      <x v="23"/>
      <x/>
    </i>
    <i>
      <x v="110"/>
      <x/>
      <x v="22"/>
      <x v="7"/>
      <x v="13"/>
      <x/>
    </i>
    <i r="1">
      <x v="1"/>
      <x v="41"/>
      <x v="9"/>
      <x v="23"/>
      <x/>
    </i>
    <i>
      <x v="111"/>
      <x/>
      <x v="24"/>
      <x v="7"/>
      <x v="12"/>
      <x/>
    </i>
    <i r="1">
      <x v="1"/>
      <x v="42"/>
      <x v="9"/>
      <x v="24"/>
      <x/>
    </i>
    <i>
      <x v="112"/>
      <x/>
      <x v="25"/>
      <x v="7"/>
      <x/>
      <x v="4"/>
    </i>
    <i r="1">
      <x v="1"/>
      <x/>
      <x v="9"/>
      <x/>
      <x v="8"/>
    </i>
    <i>
      <x v="117"/>
      <x v="1"/>
      <x v="36"/>
      <x v="9"/>
      <x v="20"/>
      <x v="10"/>
    </i>
    <i>
      <x v="120"/>
      <x v="1"/>
      <x v="34"/>
      <x v="9"/>
      <x v="18"/>
      <x/>
    </i>
    <i>
      <x v="132"/>
      <x v="1"/>
      <x v="41"/>
      <x v="9"/>
      <x v="23"/>
      <x/>
    </i>
    <i>
      <x v="133"/>
      <x v="1"/>
      <x v="42"/>
      <x v="9"/>
      <x v="24"/>
      <x/>
    </i>
    <i>
      <x v="134"/>
      <x v="1"/>
      <x v="35"/>
      <x v="9"/>
      <x v="19"/>
      <x/>
    </i>
    <i>
      <x v="135"/>
      <x v="1"/>
      <x v="35"/>
      <x v="9"/>
      <x v="19"/>
      <x/>
    </i>
    <i>
      <x v="136"/>
      <x v="1"/>
      <x v="40"/>
      <x v="9"/>
      <x v="22"/>
      <x/>
    </i>
    <i>
      <x v="137"/>
      <x v="1"/>
      <x v="40"/>
      <x v="9"/>
      <x v="22"/>
      <x/>
    </i>
    <i>
      <x v="138"/>
      <x v="1"/>
      <x v="40"/>
      <x v="9"/>
      <x v="22"/>
      <x/>
    </i>
    <i>
      <x v="139"/>
      <x v="1"/>
      <x v="41"/>
      <x v="9"/>
      <x v="23"/>
      <x/>
    </i>
    <i>
      <x v="140"/>
      <x v="1"/>
      <x v="41"/>
      <x v="9"/>
      <x v="2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319">
      <pivotArea type="all" dataOnly="0" outline="0" fieldPosition="0"/>
    </format>
    <format dxfId="1318">
      <pivotArea outline="0" collapsedLevelsAreSubtotals="1" fieldPosition="0"/>
    </format>
    <format dxfId="1317">
      <pivotArea dataOnly="0" labelOnly="1" grandRow="1" outline="0" fieldPosition="0"/>
    </format>
    <format dxfId="13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5">
      <pivotArea type="all" dataOnly="0" outline="0" fieldPosition="0"/>
    </format>
    <format dxfId="1314">
      <pivotArea outline="0" collapsedLevelsAreSubtotals="1" fieldPosition="0"/>
    </format>
    <format dxfId="1313">
      <pivotArea dataOnly="0" labelOnly="1" grandRow="1" outline="0" fieldPosition="0"/>
    </format>
    <format dxfId="1312">
      <pivotArea outline="0" collapsedLevelsAreSubtotals="1" fieldPosition="0"/>
    </format>
    <format dxfId="1311">
      <pivotArea dataOnly="0" labelOnly="1" grandRow="1" outline="0" fieldPosition="0"/>
    </format>
    <format dxfId="13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4">
      <pivotArea dataOnly="0" labelOnly="1" grandRow="1" outline="0" fieldPosition="0"/>
    </format>
    <format dxfId="1303">
      <pivotArea grandRow="1" outline="0" collapsedLevelsAreSubtotals="1" fieldPosition="0"/>
    </format>
    <format dxfId="1302">
      <pivotArea dataOnly="0" labelOnly="1" grandRow="1" outline="0" fieldPosition="0"/>
    </format>
    <format dxfId="1301">
      <pivotArea type="all" dataOnly="0" outline="0" fieldPosition="0"/>
    </format>
    <format dxfId="1300">
      <pivotArea outline="0" collapsedLevelsAreSubtotals="1" fieldPosition="0"/>
    </format>
    <format dxfId="1299">
      <pivotArea dataOnly="0" labelOnly="1" grandRow="1" outline="0" fieldPosition="0"/>
    </format>
    <format dxfId="12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95">
      <pivotArea field="12" type="button" dataOnly="0" labelOnly="1" outline="0" axis="axisRow" fieldPosition="2"/>
    </format>
    <format dxfId="1294">
      <pivotArea field="19" type="button" dataOnly="0" labelOnly="1" outline="0" axis="axisRow" fieldPosition="5"/>
    </format>
    <format dxfId="1293">
      <pivotArea field="11" type="button" dataOnly="0" labelOnly="1" outline="0" axis="axisRow" fieldPosition="3"/>
    </format>
    <format dxfId="1292">
      <pivotArea field="11" type="button" dataOnly="0" labelOnly="1" outline="0" axis="axisRow" fieldPosition="3"/>
    </format>
    <format dxfId="1291">
      <pivotArea field="15" type="button" dataOnly="0" labelOnly="1" outline="0" axis="axisRow" fieldPosition="4"/>
    </format>
    <format dxfId="1290">
      <pivotArea field="15" type="button" dataOnly="0" labelOnly="1" outline="0" axis="axisRow" fieldPosition="4"/>
    </format>
    <format dxfId="1289">
      <pivotArea field="19" type="button" dataOnly="0" labelOnly="1" outline="0" axis="axisRow" fieldPosition="5"/>
    </format>
    <format dxfId="1288">
      <pivotArea field="12" type="button" dataOnly="0" labelOnly="1" outline="0" axis="axisRow" fieldPosition="2"/>
    </format>
    <format dxfId="1287">
      <pivotArea field="6" type="button" dataOnly="0" labelOnly="1" outline="0" axis="axisRow" fieldPosition="0"/>
    </format>
    <format dxfId="1286">
      <pivotArea field="6" type="button" dataOnly="0" labelOnly="1" outline="0" axis="axisRow" fieldPosition="0"/>
    </format>
    <format dxfId="128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84">
      <pivotArea dataOnly="0" labelOnly="1" grandRow="1" outline="0" offset="IV256" fieldPosition="0"/>
    </format>
    <format dxfId="1283">
      <pivotArea grandRow="1" outline="0" collapsedLevelsAreSubtotals="1" fieldPosition="0"/>
    </format>
    <format dxfId="1282">
      <pivotArea field="11" type="button" dataOnly="0" labelOnly="1" outline="0" axis="axisRow" fieldPosition="3"/>
    </format>
    <format dxfId="128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8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27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7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7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7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75">
      <pivotArea type="all" dataOnly="0" outline="0" fieldPosition="0"/>
    </format>
    <format dxfId="1274">
      <pivotArea outline="0" collapsedLevelsAreSubtotals="1" fieldPosition="0"/>
    </format>
    <format dxfId="127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72">
      <pivotArea dataOnly="0" labelOnly="1" grandRow="1" outline="0" fieldPosition="0"/>
    </format>
    <format dxfId="12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0">
      <pivotArea type="all" dataOnly="0" outline="0" fieldPosition="0"/>
    </format>
    <format dxfId="1269">
      <pivotArea outline="0" collapsedLevelsAreSubtotals="1" fieldPosition="0"/>
    </format>
    <format dxfId="126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67">
      <pivotArea dataOnly="0" labelOnly="1" grandRow="1" outline="0" fieldPosition="0"/>
    </format>
    <format dxfId="12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6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3">
    <i>
      <x v="102"/>
      <x v="4"/>
      <x v="47"/>
      <x v="9"/>
      <x v="21"/>
      <x v="1"/>
    </i>
    <i>
      <x v="112"/>
      <x v="4"/>
      <x v="48"/>
      <x v="9"/>
      <x v="18"/>
      <x v="1"/>
    </i>
    <i>
      <x v="113"/>
      <x v="4"/>
      <x v="49"/>
      <x v="9"/>
      <x v="26"/>
      <x v="1"/>
    </i>
    <i>
      <x v="117"/>
      <x v="4"/>
      <x v="50"/>
      <x v="9"/>
      <x v="23"/>
      <x v="1"/>
    </i>
    <i>
      <x v="121"/>
      <x v="4"/>
      <x v="43"/>
      <x v="9"/>
      <x v="18"/>
      <x v="1"/>
    </i>
    <i>
      <x v="123"/>
      <x v="4"/>
      <x v="44"/>
      <x v="9"/>
      <x v="19"/>
      <x v="1"/>
    </i>
    <i>
      <x v="135"/>
      <x v="4"/>
      <x v="45"/>
      <x v="9"/>
      <x v="25"/>
      <x v="1"/>
    </i>
    <i>
      <x v="137"/>
      <x v="4"/>
      <x v="45"/>
      <x v="9"/>
      <x v="25"/>
      <x v="1"/>
    </i>
    <i>
      <x v="138"/>
      <x v="4"/>
      <x v="45"/>
      <x v="9"/>
      <x v="25"/>
      <x v="1"/>
    </i>
    <i>
      <x v="139"/>
      <x v="4"/>
      <x v="45"/>
      <x v="9"/>
      <x v="25"/>
      <x v="1"/>
    </i>
    <i>
      <x v="144"/>
      <x v="4"/>
      <x v="43"/>
      <x v="9"/>
      <x v="18"/>
      <x v="1"/>
    </i>
    <i>
      <x v="146"/>
      <x v="4"/>
      <x v="45"/>
      <x v="9"/>
      <x v="2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824">
      <pivotArea type="all" dataOnly="0" outline="0" fieldPosition="0"/>
    </format>
    <format dxfId="823">
      <pivotArea outline="0" collapsedLevelsAreSubtotals="1" fieldPosition="0"/>
    </format>
    <format dxfId="822">
      <pivotArea dataOnly="0" labelOnly="1" grandRow="1" outline="0" fieldPosition="0"/>
    </format>
    <format dxfId="8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0">
      <pivotArea type="all" dataOnly="0" outline="0" fieldPosition="0"/>
    </format>
    <format dxfId="819">
      <pivotArea outline="0" collapsedLevelsAreSubtotals="1" fieldPosition="0"/>
    </format>
    <format dxfId="818">
      <pivotArea dataOnly="0" labelOnly="1" grandRow="1" outline="0" fieldPosition="0"/>
    </format>
    <format dxfId="817">
      <pivotArea outline="0" collapsedLevelsAreSubtotals="1" fieldPosition="0"/>
    </format>
    <format dxfId="816">
      <pivotArea dataOnly="0" labelOnly="1" grandRow="1" outline="0" fieldPosition="0"/>
    </format>
    <format dxfId="8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9">
      <pivotArea dataOnly="0" labelOnly="1" grandRow="1" outline="0" fieldPosition="0"/>
    </format>
    <format dxfId="808">
      <pivotArea grandRow="1" outline="0" collapsedLevelsAreSubtotals="1" fieldPosition="0"/>
    </format>
    <format dxfId="807">
      <pivotArea dataOnly="0" labelOnly="1" grandRow="1" outline="0" fieldPosition="0"/>
    </format>
    <format dxfId="806">
      <pivotArea type="all" dataOnly="0" outline="0" fieldPosition="0"/>
    </format>
    <format dxfId="805">
      <pivotArea outline="0" collapsedLevelsAreSubtotals="1" fieldPosition="0"/>
    </format>
    <format dxfId="804">
      <pivotArea dataOnly="0" labelOnly="1" grandRow="1" outline="0" fieldPosition="0"/>
    </format>
    <format dxfId="8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0">
      <pivotArea field="12" type="button" dataOnly="0" labelOnly="1" outline="0" axis="axisRow" fieldPosition="2"/>
    </format>
    <format dxfId="799">
      <pivotArea field="19" type="button" dataOnly="0" labelOnly="1" outline="0" axis="axisRow" fieldPosition="5"/>
    </format>
    <format dxfId="798">
      <pivotArea field="11" type="button" dataOnly="0" labelOnly="1" outline="0" axis="axisRow" fieldPosition="3"/>
    </format>
    <format dxfId="797">
      <pivotArea field="11" type="button" dataOnly="0" labelOnly="1" outline="0" axis="axisRow" fieldPosition="3"/>
    </format>
    <format dxfId="796">
      <pivotArea field="15" type="button" dataOnly="0" labelOnly="1" outline="0" axis="axisRow" fieldPosition="4"/>
    </format>
    <format dxfId="795">
      <pivotArea field="15" type="button" dataOnly="0" labelOnly="1" outline="0" axis="axisRow" fieldPosition="4"/>
    </format>
    <format dxfId="794">
      <pivotArea field="19" type="button" dataOnly="0" labelOnly="1" outline="0" axis="axisRow" fieldPosition="5"/>
    </format>
    <format dxfId="793">
      <pivotArea field="12" type="button" dataOnly="0" labelOnly="1" outline="0" axis="axisRow" fieldPosition="2"/>
    </format>
    <format dxfId="792">
      <pivotArea field="6" type="button" dataOnly="0" labelOnly="1" outline="0" axis="axisRow" fieldPosition="0"/>
    </format>
    <format dxfId="791">
      <pivotArea field="6" type="button" dataOnly="0" labelOnly="1" outline="0" axis="axisRow" fieldPosition="0"/>
    </format>
    <format dxfId="79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89">
      <pivotArea dataOnly="0" labelOnly="1" grandRow="1" outline="0" offset="IV256" fieldPosition="0"/>
    </format>
    <format dxfId="788">
      <pivotArea grandRow="1" outline="0" collapsedLevelsAreSubtotals="1" fieldPosition="0"/>
    </format>
    <format dxfId="787">
      <pivotArea field="11" type="button" dataOnly="0" labelOnly="1" outline="0" axis="axisRow" fieldPosition="3"/>
    </format>
    <format dxfId="78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8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8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8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8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80">
      <pivotArea type="all" dataOnly="0" outline="0" fieldPosition="0"/>
    </format>
    <format dxfId="779">
      <pivotArea outline="0" collapsedLevelsAreSubtotals="1" fieldPosition="0"/>
    </format>
    <format dxfId="77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77">
      <pivotArea dataOnly="0" labelOnly="1" grandRow="1" outline="0" fieldPosition="0"/>
    </format>
    <format dxfId="7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5">
      <pivotArea type="all" dataOnly="0" outline="0" fieldPosition="0"/>
    </format>
    <format dxfId="774">
      <pivotArea outline="0" collapsedLevelsAreSubtotals="1" fieldPosition="0"/>
    </format>
    <format dxfId="77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72">
      <pivotArea dataOnly="0" labelOnly="1" grandRow="1" outline="0" fieldPosition="0"/>
    </format>
    <format dxfId="7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7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21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10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x="7"/>
        <item h="1" x="11"/>
        <item h="1" x="12"/>
        <item h="1" x="17"/>
        <item h="1" x="21"/>
        <item h="1" x="22"/>
        <item h="1"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26"/>
        <item x="127"/>
        <item x="128"/>
        <item x="129"/>
        <item x="108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3"/>
        <item x="144"/>
        <item x="145"/>
        <item x="146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7">
    <i>
      <x v="6"/>
      <x/>
      <x v="5"/>
      <x v="1"/>
      <x v="1"/>
      <x v="1"/>
    </i>
    <i>
      <x v="7"/>
      <x/>
      <x v="5"/>
      <x v="1"/>
      <x v="1"/>
      <x v="1"/>
    </i>
    <i>
      <x v="31"/>
      <x/>
      <x v="6"/>
      <x v="1"/>
      <x v="1"/>
      <x v="1"/>
    </i>
    <i>
      <x v="62"/>
      <x/>
      <x v="5"/>
      <x v="1"/>
      <x v="1"/>
      <x v="1"/>
    </i>
    <i>
      <x v="75"/>
      <x/>
      <x v="5"/>
      <x v="1"/>
      <x v="1"/>
      <x v="1"/>
    </i>
    <i>
      <x v="79"/>
      <x/>
      <x v="8"/>
      <x v="1"/>
      <x v="6"/>
      <x v="1"/>
    </i>
    <i>
      <x v="103"/>
      <x/>
      <x v="30"/>
      <x v="7"/>
      <x v="16"/>
      <x v="1"/>
    </i>
    <i>
      <x v="105"/>
      <x/>
      <x v="30"/>
      <x v="7"/>
      <x v="16"/>
      <x v="1"/>
    </i>
    <i>
      <x v="107"/>
      <x/>
      <x v="30"/>
      <x v="7"/>
      <x v="16"/>
      <x v="1"/>
    </i>
    <i>
      <x v="108"/>
      <x/>
      <x v="30"/>
      <x v="7"/>
      <x v="16"/>
      <x v="1"/>
    </i>
    <i>
      <x v="109"/>
      <x/>
      <x v="30"/>
      <x v="7"/>
      <x v="16"/>
      <x v="1"/>
    </i>
    <i>
      <x v="110"/>
      <x/>
      <x v="30"/>
      <x v="7"/>
      <x v="16"/>
      <x v="1"/>
    </i>
    <i>
      <x v="119"/>
      <x/>
      <x v="44"/>
      <x v="9"/>
      <x v="19"/>
      <x v="1"/>
    </i>
    <i>
      <x v="120"/>
      <x/>
      <x v="44"/>
      <x v="9"/>
      <x v="19"/>
      <x v="1"/>
    </i>
    <i>
      <x v="130"/>
      <x/>
      <x v="26"/>
      <x v="7"/>
      <x v="13"/>
      <x v="1"/>
    </i>
    <i>
      <x v="141"/>
      <x/>
      <x v="30"/>
      <x v="7"/>
      <x v="16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769">
      <pivotArea type="all" dataOnly="0" outline="0" fieldPosition="0"/>
    </format>
    <format dxfId="768">
      <pivotArea outline="0" collapsedLevelsAreSubtotals="1" fieldPosition="0"/>
    </format>
    <format dxfId="767">
      <pivotArea dataOnly="0" labelOnly="1" grandRow="1" outline="0" fieldPosition="0"/>
    </format>
    <format dxfId="7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5">
      <pivotArea type="all" dataOnly="0" outline="0" fieldPosition="0"/>
    </format>
    <format dxfId="764">
      <pivotArea outline="0" collapsedLevelsAreSubtotals="1" fieldPosition="0"/>
    </format>
    <format dxfId="763">
      <pivotArea dataOnly="0" labelOnly="1" grandRow="1" outline="0" fieldPosition="0"/>
    </format>
    <format dxfId="762">
      <pivotArea outline="0" collapsedLevelsAreSubtotals="1" fieldPosition="0"/>
    </format>
    <format dxfId="761">
      <pivotArea dataOnly="0" labelOnly="1" grandRow="1" outline="0" fieldPosition="0"/>
    </format>
    <format dxfId="7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54">
      <pivotArea dataOnly="0" labelOnly="1" grandRow="1" outline="0" fieldPosition="0"/>
    </format>
    <format dxfId="753">
      <pivotArea grandRow="1" outline="0" collapsedLevelsAreSubtotals="1" fieldPosition="0"/>
    </format>
    <format dxfId="752">
      <pivotArea dataOnly="0" labelOnly="1" grandRow="1" outline="0" fieldPosition="0"/>
    </format>
    <format dxfId="751">
      <pivotArea type="all" dataOnly="0" outline="0" fieldPosition="0"/>
    </format>
    <format dxfId="750">
      <pivotArea outline="0" collapsedLevelsAreSubtotals="1" fieldPosition="0"/>
    </format>
    <format dxfId="749">
      <pivotArea dataOnly="0" labelOnly="1" grandRow="1" outline="0" fieldPosition="0"/>
    </format>
    <format dxfId="7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5">
      <pivotArea field="12" type="button" dataOnly="0" labelOnly="1" outline="0" axis="axisRow" fieldPosition="2"/>
    </format>
    <format dxfId="744">
      <pivotArea field="19" type="button" dataOnly="0" labelOnly="1" outline="0" axis="axisRow" fieldPosition="5"/>
    </format>
    <format dxfId="743">
      <pivotArea field="11" type="button" dataOnly="0" labelOnly="1" outline="0" axis="axisRow" fieldPosition="3"/>
    </format>
    <format dxfId="742">
      <pivotArea field="11" type="button" dataOnly="0" labelOnly="1" outline="0" axis="axisRow" fieldPosition="3"/>
    </format>
    <format dxfId="741">
      <pivotArea field="15" type="button" dataOnly="0" labelOnly="1" outline="0" axis="axisRow" fieldPosition="4"/>
    </format>
    <format dxfId="740">
      <pivotArea field="15" type="button" dataOnly="0" labelOnly="1" outline="0" axis="axisRow" fieldPosition="4"/>
    </format>
    <format dxfId="739">
      <pivotArea field="19" type="button" dataOnly="0" labelOnly="1" outline="0" axis="axisRow" fieldPosition="5"/>
    </format>
    <format dxfId="738">
      <pivotArea field="12" type="button" dataOnly="0" labelOnly="1" outline="0" axis="axisRow" fieldPosition="2"/>
    </format>
    <format dxfId="737">
      <pivotArea field="6" type="button" dataOnly="0" labelOnly="1" outline="0" axis="axisRow" fieldPosition="0"/>
    </format>
    <format dxfId="736">
      <pivotArea field="6" type="button" dataOnly="0" labelOnly="1" outline="0" axis="axisRow" fieldPosition="0"/>
    </format>
    <format dxfId="73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34">
      <pivotArea dataOnly="0" labelOnly="1" grandRow="1" outline="0" offset="IV256" fieldPosition="0"/>
    </format>
    <format dxfId="733">
      <pivotArea grandRow="1" outline="0" collapsedLevelsAreSubtotals="1" fieldPosition="0"/>
    </format>
    <format dxfId="732">
      <pivotArea field="11" type="button" dataOnly="0" labelOnly="1" outline="0" axis="axisRow" fieldPosition="3"/>
    </format>
    <format dxfId="73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3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2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2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2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2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25">
      <pivotArea type="all" dataOnly="0" outline="0" fieldPosition="0"/>
    </format>
    <format dxfId="724">
      <pivotArea outline="0" collapsedLevelsAreSubtotals="1" fieldPosition="0"/>
    </format>
    <format dxfId="72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22">
      <pivotArea dataOnly="0" labelOnly="1" grandRow="1" outline="0" fieldPosition="0"/>
    </format>
    <format dxfId="7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0">
      <pivotArea type="all" dataOnly="0" outline="0" fieldPosition="0"/>
    </format>
    <format dxfId="719">
      <pivotArea outline="0" collapsedLevelsAreSubtotals="1" fieldPosition="0"/>
    </format>
    <format dxfId="71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17">
      <pivotArea dataOnly="0" labelOnly="1" grandRow="1" outline="0" fieldPosition="0"/>
    </format>
    <format dxfId="7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9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5">
    <i>
      <x v="60"/>
      <x/>
      <x v="5"/>
      <x v="1"/>
      <x v="1"/>
      <x v="1"/>
    </i>
    <i>
      <x v="86"/>
      <x/>
      <x v="8"/>
      <x v="1"/>
      <x v="6"/>
      <x v="1"/>
    </i>
    <i>
      <x v="113"/>
      <x/>
      <x v="33"/>
      <x v="7"/>
      <x v="14"/>
      <x v="1"/>
    </i>
    <i>
      <x v="121"/>
      <x/>
      <x v="32"/>
      <x v="7"/>
      <x v="1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714">
      <pivotArea type="all" dataOnly="0" outline="0" fieldPosition="0"/>
    </format>
    <format dxfId="713">
      <pivotArea outline="0" collapsedLevelsAreSubtotals="1" fieldPosition="0"/>
    </format>
    <format dxfId="712">
      <pivotArea dataOnly="0" labelOnly="1" grandRow="1" outline="0" fieldPosition="0"/>
    </format>
    <format dxfId="7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0">
      <pivotArea type="all" dataOnly="0" outline="0" fieldPosition="0"/>
    </format>
    <format dxfId="709">
      <pivotArea outline="0" collapsedLevelsAreSubtotals="1" fieldPosition="0"/>
    </format>
    <format dxfId="708">
      <pivotArea dataOnly="0" labelOnly="1" grandRow="1" outline="0" fieldPosition="0"/>
    </format>
    <format dxfId="707">
      <pivotArea outline="0" collapsedLevelsAreSubtotals="1" fieldPosition="0"/>
    </format>
    <format dxfId="706">
      <pivotArea dataOnly="0" labelOnly="1" grandRow="1" outline="0" fieldPosition="0"/>
    </format>
    <format dxfId="7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9">
      <pivotArea dataOnly="0" labelOnly="1" grandRow="1" outline="0" fieldPosition="0"/>
    </format>
    <format dxfId="698">
      <pivotArea grandRow="1" outline="0" collapsedLevelsAreSubtotals="1" fieldPosition="0"/>
    </format>
    <format dxfId="697">
      <pivotArea dataOnly="0" labelOnly="1" grandRow="1" outline="0" fieldPosition="0"/>
    </format>
    <format dxfId="696">
      <pivotArea type="all" dataOnly="0" outline="0" fieldPosition="0"/>
    </format>
    <format dxfId="695">
      <pivotArea outline="0" collapsedLevelsAreSubtotals="1" fieldPosition="0"/>
    </format>
    <format dxfId="694">
      <pivotArea dataOnly="0" labelOnly="1" grandRow="1" outline="0" fieldPosition="0"/>
    </format>
    <format dxfId="6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90">
      <pivotArea field="12" type="button" dataOnly="0" labelOnly="1" outline="0" axis="axisRow" fieldPosition="2"/>
    </format>
    <format dxfId="689">
      <pivotArea field="19" type="button" dataOnly="0" labelOnly="1" outline="0" axis="axisRow" fieldPosition="5"/>
    </format>
    <format dxfId="688">
      <pivotArea field="11" type="button" dataOnly="0" labelOnly="1" outline="0" axis="axisRow" fieldPosition="3"/>
    </format>
    <format dxfId="687">
      <pivotArea field="11" type="button" dataOnly="0" labelOnly="1" outline="0" axis="axisRow" fieldPosition="3"/>
    </format>
    <format dxfId="686">
      <pivotArea field="15" type="button" dataOnly="0" labelOnly="1" outline="0" axis="axisRow" fieldPosition="4"/>
    </format>
    <format dxfId="685">
      <pivotArea field="15" type="button" dataOnly="0" labelOnly="1" outline="0" axis="axisRow" fieldPosition="4"/>
    </format>
    <format dxfId="684">
      <pivotArea field="19" type="button" dataOnly="0" labelOnly="1" outline="0" axis="axisRow" fieldPosition="5"/>
    </format>
    <format dxfId="683">
      <pivotArea field="12" type="button" dataOnly="0" labelOnly="1" outline="0" axis="axisRow" fieldPosition="2"/>
    </format>
    <format dxfId="682">
      <pivotArea field="6" type="button" dataOnly="0" labelOnly="1" outline="0" axis="axisRow" fieldPosition="0"/>
    </format>
    <format dxfId="681">
      <pivotArea field="6" type="button" dataOnly="0" labelOnly="1" outline="0" axis="axisRow" fieldPosition="0"/>
    </format>
    <format dxfId="68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79">
      <pivotArea dataOnly="0" labelOnly="1" grandRow="1" outline="0" offset="IV256" fieldPosition="0"/>
    </format>
    <format dxfId="678">
      <pivotArea grandRow="1" outline="0" collapsedLevelsAreSubtotals="1" fieldPosition="0"/>
    </format>
    <format dxfId="677">
      <pivotArea field="11" type="button" dataOnly="0" labelOnly="1" outline="0" axis="axisRow" fieldPosition="3"/>
    </format>
    <format dxfId="67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7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7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7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7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7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70">
      <pivotArea type="all" dataOnly="0" outline="0" fieldPosition="0"/>
    </format>
    <format dxfId="669">
      <pivotArea outline="0" collapsedLevelsAreSubtotals="1" fieldPosition="0"/>
    </format>
    <format dxfId="66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67">
      <pivotArea dataOnly="0" labelOnly="1" grandRow="1" outline="0" fieldPosition="0"/>
    </format>
    <format dxfId="6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62">
      <pivotArea dataOnly="0" labelOnly="1" grandRow="1" outline="0" fieldPosition="0"/>
    </format>
    <format dxfId="6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6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3">
    <i>
      <x v="4"/>
      <x/>
      <x v="13"/>
      <x v="4"/>
      <x v="8"/>
      <x v="1"/>
    </i>
    <i>
      <x v="50"/>
      <x/>
      <x v="13"/>
      <x v="4"/>
      <x v="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659">
      <pivotArea type="all" dataOnly="0" outline="0" fieldPosition="0"/>
    </format>
    <format dxfId="658">
      <pivotArea outline="0" collapsedLevelsAreSubtotals="1" fieldPosition="0"/>
    </format>
    <format dxfId="657">
      <pivotArea dataOnly="0" labelOnly="1" grandRow="1" outline="0" fieldPosition="0"/>
    </format>
    <format dxfId="6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5">
      <pivotArea type="all" dataOnly="0" outline="0" fieldPosition="0"/>
    </format>
    <format dxfId="654">
      <pivotArea outline="0" collapsedLevelsAreSubtotals="1" fieldPosition="0"/>
    </format>
    <format dxfId="653">
      <pivotArea dataOnly="0" labelOnly="1" grandRow="1" outline="0" fieldPosition="0"/>
    </format>
    <format dxfId="652">
      <pivotArea outline="0" collapsedLevelsAreSubtotals="1" fieldPosition="0"/>
    </format>
    <format dxfId="651">
      <pivotArea dataOnly="0" labelOnly="1" grandRow="1" outline="0" fieldPosition="0"/>
    </format>
    <format dxfId="6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4">
      <pivotArea dataOnly="0" labelOnly="1" grandRow="1" outline="0" fieldPosition="0"/>
    </format>
    <format dxfId="643">
      <pivotArea grandRow="1" outline="0" collapsedLevelsAreSubtotals="1" fieldPosition="0"/>
    </format>
    <format dxfId="642">
      <pivotArea dataOnly="0" labelOnly="1" grandRow="1" outline="0" fieldPosition="0"/>
    </format>
    <format dxfId="641">
      <pivotArea type="all" dataOnly="0" outline="0" fieldPosition="0"/>
    </format>
    <format dxfId="640">
      <pivotArea outline="0" collapsedLevelsAreSubtotals="1" fieldPosition="0"/>
    </format>
    <format dxfId="639">
      <pivotArea dataOnly="0" labelOnly="1" grandRow="1" outline="0" fieldPosition="0"/>
    </format>
    <format dxfId="6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5">
      <pivotArea field="12" type="button" dataOnly="0" labelOnly="1" outline="0" axis="axisRow" fieldPosition="2"/>
    </format>
    <format dxfId="634">
      <pivotArea field="19" type="button" dataOnly="0" labelOnly="1" outline="0" axis="axisRow" fieldPosition="5"/>
    </format>
    <format dxfId="633">
      <pivotArea field="11" type="button" dataOnly="0" labelOnly="1" outline="0" axis="axisRow" fieldPosition="3"/>
    </format>
    <format dxfId="632">
      <pivotArea field="11" type="button" dataOnly="0" labelOnly="1" outline="0" axis="axisRow" fieldPosition="3"/>
    </format>
    <format dxfId="631">
      <pivotArea field="15" type="button" dataOnly="0" labelOnly="1" outline="0" axis="axisRow" fieldPosition="4"/>
    </format>
    <format dxfId="630">
      <pivotArea field="15" type="button" dataOnly="0" labelOnly="1" outline="0" axis="axisRow" fieldPosition="4"/>
    </format>
    <format dxfId="629">
      <pivotArea field="19" type="button" dataOnly="0" labelOnly="1" outline="0" axis="axisRow" fieldPosition="5"/>
    </format>
    <format dxfId="628">
      <pivotArea field="12" type="button" dataOnly="0" labelOnly="1" outline="0" axis="axisRow" fieldPosition="2"/>
    </format>
    <format dxfId="627">
      <pivotArea field="6" type="button" dataOnly="0" labelOnly="1" outline="0" axis="axisRow" fieldPosition="0"/>
    </format>
    <format dxfId="626">
      <pivotArea field="6" type="button" dataOnly="0" labelOnly="1" outline="0" axis="axisRow" fieldPosition="0"/>
    </format>
    <format dxfId="62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24">
      <pivotArea dataOnly="0" labelOnly="1" grandRow="1" outline="0" offset="IV256" fieldPosition="0"/>
    </format>
    <format dxfId="623">
      <pivotArea grandRow="1" outline="0" collapsedLevelsAreSubtotals="1" fieldPosition="0"/>
    </format>
    <format dxfId="622">
      <pivotArea field="11" type="button" dataOnly="0" labelOnly="1" outline="0" axis="axisRow" fieldPosition="3"/>
    </format>
    <format dxfId="62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2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1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1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1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15">
      <pivotArea type="all" dataOnly="0" outline="0" fieldPosition="0"/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12">
      <pivotArea dataOnly="0" labelOnly="1" grandRow="1" outline="0" fieldPosition="0"/>
    </format>
    <format dxfId="6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0">
      <pivotArea type="all" dataOnly="0" outline="0" fieldPosition="0"/>
    </format>
    <format dxfId="609">
      <pivotArea outline="0" collapsedLevelsAreSubtotals="1" fieldPosition="0"/>
    </format>
    <format dxfId="60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07">
      <pivotArea dataOnly="0" labelOnly="1" grandRow="1" outline="0" fieldPosition="0"/>
    </format>
    <format dxfId="6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0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9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5">
    <i>
      <x/>
      <x/>
      <x v="13"/>
      <x v="4"/>
      <x v="8"/>
      <x v="1"/>
    </i>
    <i>
      <x v="2"/>
      <x/>
      <x v="13"/>
      <x v="4"/>
      <x v="8"/>
      <x v="1"/>
    </i>
    <i>
      <x v="7"/>
      <x/>
      <x v="13"/>
      <x v="4"/>
      <x v="8"/>
      <x v="1"/>
    </i>
    <i>
      <x v="14"/>
      <x/>
      <x v="13"/>
      <x v="4"/>
      <x v="8"/>
      <x v="1"/>
    </i>
    <i>
      <x v="20"/>
      <x/>
      <x v="13"/>
      <x v="4"/>
      <x v="8"/>
      <x v="1"/>
    </i>
    <i>
      <x v="22"/>
      <x/>
      <x v="16"/>
      <x v="4"/>
      <x v="4"/>
      <x v="1"/>
    </i>
    <i>
      <x v="29"/>
      <x/>
      <x v="13"/>
      <x v="4"/>
      <x v="8"/>
      <x v="1"/>
    </i>
    <i>
      <x v="42"/>
      <x/>
      <x v="13"/>
      <x v="4"/>
      <x v="8"/>
      <x v="1"/>
    </i>
    <i>
      <x v="51"/>
      <x/>
      <x v="13"/>
      <x v="4"/>
      <x v="8"/>
      <x v="1"/>
    </i>
    <i>
      <x v="52"/>
      <x/>
      <x v="15"/>
      <x v="6"/>
      <x v="8"/>
      <x v="1"/>
    </i>
    <i>
      <x v="53"/>
      <x/>
      <x v="13"/>
      <x v="4"/>
      <x v="8"/>
      <x v="1"/>
    </i>
    <i>
      <x v="54"/>
      <x/>
      <x v="13"/>
      <x v="4"/>
      <x v="8"/>
      <x v="1"/>
    </i>
    <i>
      <x v="64"/>
      <x/>
      <x v="17"/>
      <x v="4"/>
      <x v="2"/>
      <x v="1"/>
    </i>
    <i>
      <x v="94"/>
      <x/>
      <x v="13"/>
      <x v="4"/>
      <x v="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604">
      <pivotArea type="all" dataOnly="0" outline="0" fieldPosition="0"/>
    </format>
    <format dxfId="603">
      <pivotArea outline="0" collapsedLevelsAreSubtotals="1" fieldPosition="0"/>
    </format>
    <format dxfId="602">
      <pivotArea dataOnly="0" labelOnly="1" grandRow="1" outline="0" fieldPosition="0"/>
    </format>
    <format dxfId="6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0">
      <pivotArea type="all" dataOnly="0" outline="0" fieldPosition="0"/>
    </format>
    <format dxfId="599">
      <pivotArea outline="0" collapsedLevelsAreSubtotals="1" fieldPosition="0"/>
    </format>
    <format dxfId="598">
      <pivotArea dataOnly="0" labelOnly="1" grandRow="1" outline="0" fieldPosition="0"/>
    </format>
    <format dxfId="597">
      <pivotArea outline="0" collapsedLevelsAreSubtotals="1" fieldPosition="0"/>
    </format>
    <format dxfId="596">
      <pivotArea dataOnly="0" labelOnly="1" grandRow="1" outline="0" fieldPosition="0"/>
    </format>
    <format dxfId="5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9">
      <pivotArea dataOnly="0" labelOnly="1" grandRow="1" outline="0" fieldPosition="0"/>
    </format>
    <format dxfId="588">
      <pivotArea grandRow="1" outline="0" collapsedLevelsAreSubtotals="1" fieldPosition="0"/>
    </format>
    <format dxfId="587">
      <pivotArea dataOnly="0" labelOnly="1" grandRow="1" outline="0" fieldPosition="0"/>
    </format>
    <format dxfId="586">
      <pivotArea type="all" dataOnly="0" outline="0" fieldPosition="0"/>
    </format>
    <format dxfId="585">
      <pivotArea outline="0" collapsedLevelsAreSubtotals="1" fieldPosition="0"/>
    </format>
    <format dxfId="584">
      <pivotArea dataOnly="0" labelOnly="1" grandRow="1" outline="0" fieldPosition="0"/>
    </format>
    <format dxfId="5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0">
      <pivotArea field="12" type="button" dataOnly="0" labelOnly="1" outline="0" axis="axisRow" fieldPosition="2"/>
    </format>
    <format dxfId="579">
      <pivotArea field="19" type="button" dataOnly="0" labelOnly="1" outline="0" axis="axisRow" fieldPosition="5"/>
    </format>
    <format dxfId="578">
      <pivotArea field="11" type="button" dataOnly="0" labelOnly="1" outline="0" axis="axisRow" fieldPosition="3"/>
    </format>
    <format dxfId="577">
      <pivotArea field="11" type="button" dataOnly="0" labelOnly="1" outline="0" axis="axisRow" fieldPosition="3"/>
    </format>
    <format dxfId="576">
      <pivotArea field="15" type="button" dataOnly="0" labelOnly="1" outline="0" axis="axisRow" fieldPosition="4"/>
    </format>
    <format dxfId="575">
      <pivotArea field="15" type="button" dataOnly="0" labelOnly="1" outline="0" axis="axisRow" fieldPosition="4"/>
    </format>
    <format dxfId="574">
      <pivotArea field="19" type="button" dataOnly="0" labelOnly="1" outline="0" axis="axisRow" fieldPosition="5"/>
    </format>
    <format dxfId="573">
      <pivotArea field="12" type="button" dataOnly="0" labelOnly="1" outline="0" axis="axisRow" fieldPosition="2"/>
    </format>
    <format dxfId="572">
      <pivotArea field="6" type="button" dataOnly="0" labelOnly="1" outline="0" axis="axisRow" fieldPosition="0"/>
    </format>
    <format dxfId="571">
      <pivotArea field="6" type="button" dataOnly="0" labelOnly="1" outline="0" axis="axisRow" fieldPosition="0"/>
    </format>
    <format dxfId="57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69">
      <pivotArea dataOnly="0" labelOnly="1" grandRow="1" outline="0" offset="IV256" fieldPosition="0"/>
    </format>
    <format dxfId="568">
      <pivotArea grandRow="1" outline="0" collapsedLevelsAreSubtotals="1" fieldPosition="0"/>
    </format>
    <format dxfId="567">
      <pivotArea field="11" type="button" dataOnly="0" labelOnly="1" outline="0" axis="axisRow" fieldPosition="3"/>
    </format>
    <format dxfId="56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6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6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6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6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6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60">
      <pivotArea type="all" dataOnly="0" outline="0" fieldPosition="0"/>
    </format>
    <format dxfId="559">
      <pivotArea outline="0" collapsedLevelsAreSubtotals="1" fieldPosition="0"/>
    </format>
    <format dxfId="55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57">
      <pivotArea dataOnly="0" labelOnly="1" grandRow="1" outline="0" fieldPosition="0"/>
    </format>
    <format dxfId="5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5">
      <pivotArea type="all" dataOnly="0" outline="0" fieldPosition="0"/>
    </format>
    <format dxfId="554">
      <pivotArea outline="0" collapsedLevelsAreSubtotals="1" fieldPosition="0"/>
    </format>
    <format dxfId="55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52">
      <pivotArea dataOnly="0" labelOnly="1" grandRow="1" outline="0" fieldPosition="0"/>
    </format>
    <format dxfId="5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5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1">
    <i>
      <x v="100"/>
      <x v="5"/>
      <x v="46"/>
      <x v="9"/>
      <x v="24"/>
      <x v="1"/>
    </i>
    <i>
      <x v="114"/>
      <x v="5"/>
      <x v="48"/>
      <x v="9"/>
      <x v="18"/>
      <x v="1"/>
    </i>
    <i>
      <x v="115"/>
      <x v="5"/>
      <x v="50"/>
      <x v="9"/>
      <x v="23"/>
      <x v="1"/>
    </i>
    <i>
      <x v="117"/>
      <x v="5"/>
      <x v="50"/>
      <x v="9"/>
      <x v="23"/>
      <x v="1"/>
    </i>
    <i>
      <x v="124"/>
      <x v="5"/>
      <x v="51"/>
      <x v="9"/>
      <x v="19"/>
      <x v="1"/>
    </i>
    <i>
      <x v="125"/>
      <x v="5"/>
      <x v="51"/>
      <x v="9"/>
      <x v="19"/>
      <x v="1"/>
    </i>
    <i>
      <x v="127"/>
      <x v="5"/>
      <x v="51"/>
      <x v="9"/>
      <x v="19"/>
      <x v="1"/>
    </i>
    <i>
      <x v="131"/>
      <x v="5"/>
      <x v="46"/>
      <x v="9"/>
      <x v="24"/>
      <x v="1"/>
    </i>
    <i>
      <x v="138"/>
      <x v="5"/>
      <x v="45"/>
      <x v="9"/>
      <x v="25"/>
      <x v="1"/>
    </i>
    <i>
      <x v="140"/>
      <x v="5"/>
      <x/>
      <x v="9"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549">
      <pivotArea type="all" dataOnly="0" outline="0" fieldPosition="0"/>
    </format>
    <format dxfId="548">
      <pivotArea outline="0" collapsedLevelsAreSubtotals="1" fieldPosition="0"/>
    </format>
    <format dxfId="547">
      <pivotArea dataOnly="0" labelOnly="1" grandRow="1" outline="0" fieldPosition="0"/>
    </format>
    <format dxfId="5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5">
      <pivotArea type="all" dataOnly="0" outline="0" fieldPosition="0"/>
    </format>
    <format dxfId="544">
      <pivotArea outline="0" collapsedLevelsAreSubtotals="1" fieldPosition="0"/>
    </format>
    <format dxfId="543">
      <pivotArea dataOnly="0" labelOnly="1" grandRow="1" outline="0" fieldPosition="0"/>
    </format>
    <format dxfId="542">
      <pivotArea outline="0" collapsedLevelsAreSubtotals="1" fieldPosition="0"/>
    </format>
    <format dxfId="541">
      <pivotArea dataOnly="0" labelOnly="1" grandRow="1" outline="0" fieldPosition="0"/>
    </format>
    <format dxfId="5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4">
      <pivotArea dataOnly="0" labelOnly="1" grandRow="1" outline="0" fieldPosition="0"/>
    </format>
    <format dxfId="533">
      <pivotArea grandRow="1" outline="0" collapsedLevelsAreSubtotals="1" fieldPosition="0"/>
    </format>
    <format dxfId="532">
      <pivotArea dataOnly="0" labelOnly="1" grandRow="1" outline="0" fieldPosition="0"/>
    </format>
    <format dxfId="531">
      <pivotArea type="all" dataOnly="0" outline="0" fieldPosition="0"/>
    </format>
    <format dxfId="530">
      <pivotArea outline="0" collapsedLevelsAreSubtotals="1" fieldPosition="0"/>
    </format>
    <format dxfId="529">
      <pivotArea dataOnly="0" labelOnly="1" grandRow="1" outline="0" fieldPosition="0"/>
    </format>
    <format dxfId="5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25">
      <pivotArea field="12" type="button" dataOnly="0" labelOnly="1" outline="0" axis="axisRow" fieldPosition="2"/>
    </format>
    <format dxfId="524">
      <pivotArea field="19" type="button" dataOnly="0" labelOnly="1" outline="0" axis="axisRow" fieldPosition="5"/>
    </format>
    <format dxfId="523">
      <pivotArea field="11" type="button" dataOnly="0" labelOnly="1" outline="0" axis="axisRow" fieldPosition="3"/>
    </format>
    <format dxfId="522">
      <pivotArea field="11" type="button" dataOnly="0" labelOnly="1" outline="0" axis="axisRow" fieldPosition="3"/>
    </format>
    <format dxfId="521">
      <pivotArea field="15" type="button" dataOnly="0" labelOnly="1" outline="0" axis="axisRow" fieldPosition="4"/>
    </format>
    <format dxfId="520">
      <pivotArea field="15" type="button" dataOnly="0" labelOnly="1" outline="0" axis="axisRow" fieldPosition="4"/>
    </format>
    <format dxfId="519">
      <pivotArea field="19" type="button" dataOnly="0" labelOnly="1" outline="0" axis="axisRow" fieldPosition="5"/>
    </format>
    <format dxfId="518">
      <pivotArea field="12" type="button" dataOnly="0" labelOnly="1" outline="0" axis="axisRow" fieldPosition="2"/>
    </format>
    <format dxfId="517">
      <pivotArea field="6" type="button" dataOnly="0" labelOnly="1" outline="0" axis="axisRow" fieldPosition="0"/>
    </format>
    <format dxfId="516">
      <pivotArea field="6" type="button" dataOnly="0" labelOnly="1" outline="0" axis="axisRow" fieldPosition="0"/>
    </format>
    <format dxfId="51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14">
      <pivotArea dataOnly="0" labelOnly="1" grandRow="1" outline="0" offset="IV256" fieldPosition="0"/>
    </format>
    <format dxfId="513">
      <pivotArea grandRow="1" outline="0" collapsedLevelsAreSubtotals="1" fieldPosition="0"/>
    </format>
    <format dxfId="512">
      <pivotArea field="11" type="button" dataOnly="0" labelOnly="1" outline="0" axis="axisRow" fieldPosition="3"/>
    </format>
    <format dxfId="51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1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0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0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0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0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505">
      <pivotArea type="all" dataOnly="0" outline="0" fieldPosition="0"/>
    </format>
    <format dxfId="504">
      <pivotArea outline="0" collapsedLevelsAreSubtotals="1" fieldPosition="0"/>
    </format>
    <format dxfId="50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02">
      <pivotArea dataOnly="0" labelOnly="1" grandRow="1" outline="0" fieldPosition="0"/>
    </format>
    <format dxfId="5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0">
      <pivotArea type="all" dataOnly="0" outline="0" fieldPosition="0"/>
    </format>
    <format dxfId="499">
      <pivotArea outline="0" collapsedLevelsAreSubtotals="1" fieldPosition="0"/>
    </format>
    <format dxfId="49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97">
      <pivotArea dataOnly="0" labelOnly="1" grandRow="1" outline="0" fieldPosition="0"/>
    </format>
    <format dxfId="4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9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45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41">
    <i>
      <x/>
      <x/>
      <x v="6"/>
      <x v="2"/>
      <x v="1"/>
      <x v="1"/>
    </i>
    <i>
      <x v="1"/>
      <x/>
      <x v="10"/>
      <x v="1"/>
      <x v="2"/>
      <x v="3"/>
    </i>
    <i>
      <x v="2"/>
      <x/>
      <x v="6"/>
      <x v="1"/>
      <x v="1"/>
      <x v="1"/>
    </i>
    <i r="2">
      <x v="13"/>
      <x v="4"/>
      <x v="8"/>
      <x v="1"/>
    </i>
    <i>
      <x v="3"/>
      <x/>
      <x v="13"/>
      <x v="4"/>
      <x v="8"/>
      <x v="4"/>
    </i>
    <i>
      <x v="5"/>
      <x/>
      <x v="13"/>
      <x v="4"/>
      <x v="8"/>
      <x v="1"/>
    </i>
    <i>
      <x v="8"/>
      <x/>
      <x v="13"/>
      <x v="4"/>
      <x v="8"/>
      <x v="1"/>
    </i>
    <i>
      <x v="9"/>
      <x/>
      <x v="13"/>
      <x v="4"/>
      <x v="8"/>
      <x v="4"/>
    </i>
    <i>
      <x v="10"/>
      <x/>
      <x v="5"/>
      <x v="1"/>
      <x v="1"/>
      <x v="1"/>
    </i>
    <i r="2">
      <x v="13"/>
      <x v="4"/>
      <x v="8"/>
      <x v="1"/>
    </i>
    <i>
      <x v="11"/>
      <x/>
      <x v="5"/>
      <x v="1"/>
      <x v="1"/>
      <x v="1"/>
    </i>
    <i r="2">
      <x v="13"/>
      <x v="4"/>
      <x v="8"/>
      <x v="1"/>
    </i>
    <i>
      <x v="12"/>
      <x/>
      <x v="9"/>
      <x v="1"/>
      <x v="3"/>
      <x v="3"/>
    </i>
    <i r="2">
      <x v="14"/>
      <x v="4"/>
      <x v="3"/>
      <x v="1"/>
    </i>
    <i>
      <x v="13"/>
      <x/>
      <x v="5"/>
      <x v="1"/>
      <x v="1"/>
      <x v="1"/>
    </i>
    <i>
      <x v="14"/>
      <x/>
      <x v="5"/>
      <x v="1"/>
      <x v="1"/>
      <x v="1"/>
    </i>
    <i r="2">
      <x v="13"/>
      <x v="4"/>
      <x v="8"/>
      <x v="1"/>
    </i>
    <i>
      <x v="15"/>
      <x/>
      <x v="5"/>
      <x v="1"/>
      <x v="1"/>
      <x v="1"/>
    </i>
    <i r="2">
      <x v="13"/>
      <x v="4"/>
      <x v="8"/>
      <x v="1"/>
    </i>
    <i>
      <x v="16"/>
      <x/>
      <x v="13"/>
      <x v="4"/>
      <x v="8"/>
      <x v="1"/>
    </i>
    <i>
      <x v="17"/>
      <x/>
      <x v="5"/>
      <x v="1"/>
      <x v="1"/>
      <x v="1"/>
    </i>
    <i>
      <x v="18"/>
      <x/>
      <x v="5"/>
      <x v="1"/>
      <x v="1"/>
      <x v="1"/>
    </i>
    <i r="2">
      <x v="13"/>
      <x v="4"/>
      <x v="8"/>
      <x v="1"/>
    </i>
    <i>
      <x v="19"/>
      <x/>
      <x v="13"/>
      <x v="4"/>
      <x v="8"/>
      <x v="4"/>
    </i>
    <i>
      <x v="20"/>
      <x/>
      <x v="5"/>
      <x v="1"/>
      <x v="1"/>
      <x v="1"/>
    </i>
    <i r="2">
      <x v="13"/>
      <x v="4"/>
      <x v="8"/>
      <x v="1"/>
    </i>
    <i>
      <x v="21"/>
      <x/>
      <x v="5"/>
      <x v="1"/>
      <x v="1"/>
      <x v="1"/>
    </i>
    <i r="2">
      <x v="13"/>
      <x v="4"/>
      <x v="8"/>
      <x v="1"/>
    </i>
    <i>
      <x v="22"/>
      <x/>
      <x v="8"/>
      <x v="1"/>
      <x v="6"/>
      <x v="1"/>
    </i>
    <i r="2">
      <x v="16"/>
      <x v="4"/>
      <x v="4"/>
      <x v="1"/>
    </i>
    <i>
      <x v="23"/>
      <x/>
      <x v="9"/>
      <x v="1"/>
      <x v="3"/>
      <x v="1"/>
    </i>
    <i r="2">
      <x v="14"/>
      <x v="4"/>
      <x v="3"/>
      <x v="1"/>
    </i>
    <i>
      <x v="24"/>
      <x/>
      <x v="5"/>
      <x v="1"/>
      <x v="1"/>
      <x v="1"/>
    </i>
    <i r="2">
      <x v="13"/>
      <x v="4"/>
      <x v="8"/>
      <x v="1"/>
    </i>
    <i>
      <x v="25"/>
      <x/>
      <x v="7"/>
      <x v="1"/>
      <x v="5"/>
      <x v="1"/>
    </i>
    <i r="2">
      <x v="18"/>
      <x v="4"/>
      <x v="9"/>
      <x v="1"/>
    </i>
    <i>
      <x v="26"/>
      <x/>
      <x v="13"/>
      <x v="4"/>
      <x v="8"/>
      <x v="4"/>
    </i>
    <i>
      <x v="27"/>
      <x/>
      <x v="13"/>
      <x v="4"/>
      <x v="8"/>
      <x v="4"/>
    </i>
    <i>
      <x v="28"/>
      <x/>
      <x v="13"/>
      <x v="4"/>
      <x v="8"/>
      <x v="1"/>
    </i>
    <i>
      <x v="29"/>
      <x/>
      <x v="13"/>
      <x v="4"/>
      <x v="8"/>
      <x v="4"/>
    </i>
    <i>
      <x v="30"/>
      <x/>
      <x v="13"/>
      <x v="4"/>
      <x v="8"/>
      <x v="4"/>
    </i>
    <i>
      <x v="31"/>
      <x/>
      <x v="6"/>
      <x v="1"/>
      <x v="1"/>
      <x v="1"/>
    </i>
    <i>
      <x v="32"/>
      <x/>
      <x v="6"/>
      <x v="1"/>
      <x v="1"/>
      <x v="1"/>
    </i>
    <i r="2">
      <x v="13"/>
      <x v="4"/>
      <x v="8"/>
      <x v="1"/>
    </i>
    <i>
      <x v="34"/>
      <x/>
      <x v="5"/>
      <x v="1"/>
      <x v="1"/>
      <x v="1"/>
    </i>
    <i r="2">
      <x v="13"/>
      <x v="4"/>
      <x v="8"/>
      <x v="1"/>
    </i>
    <i>
      <x v="35"/>
      <x/>
      <x v="5"/>
      <x v="1"/>
      <x v="1"/>
      <x v="1"/>
    </i>
    <i r="2">
      <x v="13"/>
      <x v="4"/>
      <x v="8"/>
      <x v="1"/>
    </i>
    <i>
      <x v="36"/>
      <x/>
      <x v="6"/>
      <x v="1"/>
      <x v="1"/>
      <x v="1"/>
    </i>
    <i r="2">
      <x v="13"/>
      <x v="4"/>
      <x v="8"/>
      <x v="1"/>
    </i>
    <i>
      <x v="37"/>
      <x/>
      <x v="6"/>
      <x v="1"/>
      <x v="1"/>
      <x v="1"/>
    </i>
    <i>
      <x v="39"/>
      <x/>
      <x v="7"/>
      <x v="1"/>
      <x v="5"/>
      <x v="1"/>
    </i>
    <i>
      <x v="41"/>
      <x/>
      <x v="17"/>
      <x v="4"/>
      <x v="2"/>
      <x v="1"/>
    </i>
    <i>
      <x v="42"/>
      <x/>
      <x v="13"/>
      <x v="4"/>
      <x v="8"/>
      <x v="4"/>
    </i>
    <i>
      <x v="43"/>
      <x/>
      <x v="13"/>
      <x v="4"/>
      <x v="8"/>
      <x v="1"/>
    </i>
    <i>
      <x v="44"/>
      <x/>
      <x/>
      <x/>
      <x/>
      <x v="2"/>
    </i>
    <i>
      <x v="45"/>
      <x/>
      <x v="5"/>
      <x v="1"/>
      <x v="1"/>
      <x v="1"/>
    </i>
    <i r="2">
      <x v="13"/>
      <x v="4"/>
      <x v="8"/>
      <x v="1"/>
    </i>
    <i>
      <x v="46"/>
      <x/>
      <x v="5"/>
      <x v="2"/>
      <x v="1"/>
      <x v="1"/>
    </i>
    <i r="2">
      <x v="13"/>
      <x v="4"/>
      <x v="8"/>
      <x v="1"/>
    </i>
    <i>
      <x v="47"/>
      <x/>
      <x v="5"/>
      <x v="1"/>
      <x v="1"/>
      <x v="1"/>
    </i>
    <i r="2">
      <x v="13"/>
      <x v="4"/>
      <x v="8"/>
      <x v="1"/>
    </i>
    <i>
      <x v="49"/>
      <x/>
      <x v="13"/>
      <x v="4"/>
      <x v="8"/>
      <x v="1"/>
    </i>
    <i>
      <x v="50"/>
      <x/>
      <x v="6"/>
      <x v="1"/>
      <x v="1"/>
      <x v="1"/>
    </i>
    <i r="2">
      <x v="13"/>
      <x v="4"/>
      <x v="8"/>
      <x v="1"/>
    </i>
    <i>
      <x v="51"/>
      <x/>
      <x v="13"/>
      <x v="4"/>
      <x v="8"/>
      <x v="1"/>
    </i>
    <i>
      <x v="52"/>
      <x/>
      <x v="15"/>
      <x v="6"/>
      <x v="8"/>
      <x v="3"/>
    </i>
    <i>
      <x v="53"/>
      <x/>
      <x v="6"/>
      <x v="2"/>
      <x v="1"/>
      <x v="1"/>
    </i>
    <i r="2">
      <x v="13"/>
      <x v="4"/>
      <x v="8"/>
      <x v="1"/>
    </i>
    <i>
      <x v="56"/>
      <x/>
      <x v="5"/>
      <x v="1"/>
      <x v="1"/>
      <x v="1"/>
    </i>
    <i>
      <x v="57"/>
      <x/>
      <x v="13"/>
      <x v="4"/>
      <x v="8"/>
      <x v="4"/>
    </i>
    <i>
      <x v="58"/>
      <x/>
      <x v="9"/>
      <x v="1"/>
      <x v="3"/>
      <x v="1"/>
    </i>
    <i r="2">
      <x v="14"/>
      <x v="4"/>
      <x v="3"/>
      <x v="1"/>
    </i>
    <i>
      <x v="59"/>
      <x/>
      <x v="13"/>
      <x v="4"/>
      <x v="8"/>
      <x v="4"/>
    </i>
    <i>
      <x v="60"/>
      <x/>
      <x v="5"/>
      <x v="1"/>
      <x v="1"/>
      <x v="1"/>
    </i>
    <i>
      <x v="61"/>
      <x/>
      <x v="5"/>
      <x v="1"/>
      <x v="1"/>
      <x v="1"/>
    </i>
    <i>
      <x v="63"/>
      <x/>
      <x v="6"/>
      <x v="1"/>
      <x v="1"/>
      <x v="1"/>
    </i>
    <i r="2">
      <x v="13"/>
      <x v="6"/>
      <x v="8"/>
      <x v="1"/>
    </i>
    <i>
      <x v="64"/>
      <x/>
      <x v="17"/>
      <x v="4"/>
      <x v="2"/>
      <x v="4"/>
    </i>
    <i>
      <x v="65"/>
      <x/>
      <x v="5"/>
      <x v="1"/>
      <x v="1"/>
      <x v="1"/>
    </i>
    <i>
      <x v="66"/>
      <x/>
      <x v="5"/>
      <x v="1"/>
      <x v="1"/>
      <x v="1"/>
    </i>
    <i r="2">
      <x v="13"/>
      <x v="4"/>
      <x v="8"/>
      <x v="1"/>
    </i>
    <i>
      <x v="67"/>
      <x/>
      <x v="8"/>
      <x v="1"/>
      <x v="6"/>
      <x v="1"/>
    </i>
    <i>
      <x v="68"/>
      <x/>
      <x v="5"/>
      <x v="1"/>
      <x v="1"/>
      <x v="1"/>
    </i>
    <i r="2">
      <x v="13"/>
      <x v="4"/>
      <x v="8"/>
      <x v="1"/>
    </i>
    <i>
      <x v="69"/>
      <x/>
      <x v="5"/>
      <x v="1"/>
      <x v="1"/>
      <x v="1"/>
    </i>
    <i>
      <x v="70"/>
      <x/>
      <x v="13"/>
      <x v="4"/>
      <x v="8"/>
      <x v="1"/>
    </i>
    <i>
      <x v="71"/>
      <x/>
      <x v="5"/>
      <x v="1"/>
      <x v="1"/>
      <x v="1"/>
    </i>
    <i>
      <x v="72"/>
      <x/>
      <x v="5"/>
      <x v="1"/>
      <x v="1"/>
      <x v="1"/>
    </i>
    <i r="2">
      <x v="13"/>
      <x v="4"/>
      <x v="8"/>
      <x v="1"/>
    </i>
    <i>
      <x v="73"/>
      <x/>
      <x v="5"/>
      <x v="2"/>
      <x v="1"/>
      <x v="1"/>
    </i>
    <i>
      <x v="74"/>
      <x/>
      <x v="5"/>
      <x v="1"/>
      <x v="1"/>
      <x v="1"/>
    </i>
    <i>
      <x v="75"/>
      <x/>
      <x v="5"/>
      <x v="1"/>
      <x v="1"/>
      <x v="1"/>
    </i>
    <i r="2">
      <x v="13"/>
      <x v="4"/>
      <x v="8"/>
      <x v="4"/>
    </i>
    <i>
      <x v="76"/>
      <x/>
      <x v="5"/>
      <x v="1"/>
      <x v="1"/>
      <x v="1"/>
    </i>
    <i r="2">
      <x v="13"/>
      <x v="4"/>
      <x v="8"/>
      <x v="1"/>
    </i>
    <i>
      <x v="77"/>
      <x/>
      <x v="13"/>
      <x v="4"/>
      <x v="8"/>
      <x v="1"/>
    </i>
    <i>
      <x v="78"/>
      <x/>
      <x v="5"/>
      <x v="1"/>
      <x v="1"/>
      <x v="1"/>
    </i>
    <i r="2">
      <x v="13"/>
      <x v="4"/>
      <x v="8"/>
      <x v="1"/>
    </i>
    <i>
      <x v="81"/>
      <x/>
      <x v="5"/>
      <x v="1"/>
      <x v="1"/>
      <x v="1"/>
    </i>
    <i r="2">
      <x v="13"/>
      <x v="4"/>
      <x v="8"/>
      <x v="1"/>
    </i>
    <i>
      <x v="82"/>
      <x/>
      <x v="8"/>
      <x v="1"/>
      <x v="6"/>
      <x v="3"/>
    </i>
    <i>
      <x v="83"/>
      <x/>
      <x v="10"/>
      <x v="1"/>
      <x v="2"/>
      <x v="3"/>
    </i>
    <i>
      <x v="84"/>
      <x/>
      <x v="13"/>
      <x v="4"/>
      <x v="8"/>
      <x v="1"/>
    </i>
    <i>
      <x v="87"/>
      <x/>
      <x v="9"/>
      <x v="1"/>
      <x v="3"/>
      <x v="3"/>
    </i>
    <i r="2">
      <x v="14"/>
      <x v="4"/>
      <x v="3"/>
      <x v="1"/>
    </i>
    <i>
      <x v="90"/>
      <x/>
      <x v="6"/>
      <x v="1"/>
      <x v="1"/>
      <x v="1"/>
    </i>
    <i r="2">
      <x v="13"/>
      <x v="4"/>
      <x v="8"/>
      <x v="1"/>
    </i>
    <i>
      <x v="91"/>
      <x/>
      <x v="6"/>
      <x v="1"/>
      <x v="1"/>
      <x v="1"/>
    </i>
    <i r="2">
      <x v="13"/>
      <x v="4"/>
      <x v="8"/>
      <x v="1"/>
    </i>
    <i>
      <x v="92"/>
      <x/>
      <x v="5"/>
      <x v="1"/>
      <x v="1"/>
      <x v="1"/>
    </i>
    <i r="2">
      <x v="13"/>
      <x v="4"/>
      <x v="8"/>
      <x v="1"/>
    </i>
    <i>
      <x v="93"/>
      <x/>
      <x v="13"/>
      <x v="4"/>
      <x v="8"/>
      <x v="1"/>
    </i>
    <i>
      <x v="96"/>
      <x/>
      <x v="13"/>
      <x v="4"/>
      <x v="8"/>
      <x v="4"/>
    </i>
    <i>
      <x v="97"/>
      <x/>
      <x v="13"/>
      <x v="4"/>
      <x v="8"/>
      <x v="1"/>
    </i>
    <i>
      <x v="98"/>
      <x/>
      <x v="8"/>
      <x v="1"/>
      <x v="6"/>
      <x v="1"/>
    </i>
    <i>
      <x v="99"/>
      <x/>
      <x v="13"/>
      <x v="4"/>
      <x v="8"/>
      <x v="4"/>
    </i>
    <i>
      <x v="100"/>
      <x/>
      <x v="31"/>
      <x v="7"/>
      <x v="12"/>
      <x v="1"/>
    </i>
    <i>
      <x v="101"/>
      <x/>
      <x v="27"/>
      <x v="7"/>
      <x v="10"/>
      <x v="1"/>
    </i>
    <i>
      <x v="102"/>
      <x/>
      <x v="27"/>
      <x v="7"/>
      <x v="10"/>
      <x v="1"/>
    </i>
    <i>
      <x v="104"/>
      <x/>
      <x v="30"/>
      <x v="7"/>
      <x v="16"/>
      <x v="1"/>
    </i>
    <i>
      <x v="106"/>
      <x/>
      <x v="30"/>
      <x v="7"/>
      <x v="16"/>
      <x v="1"/>
    </i>
    <i>
      <x v="108"/>
      <x/>
      <x v="30"/>
      <x v="7"/>
      <x v="16"/>
      <x v="1"/>
    </i>
    <i>
      <x v="113"/>
      <x/>
      <x v="33"/>
      <x v="7"/>
      <x v="14"/>
      <x v="1"/>
    </i>
    <i>
      <x v="116"/>
      <x/>
      <x v="26"/>
      <x v="7"/>
      <x v="13"/>
      <x v="1"/>
    </i>
    <i>
      <x v="117"/>
      <x/>
      <x v="26"/>
      <x v="7"/>
      <x v="13"/>
      <x v="1"/>
    </i>
    <i>
      <x v="119"/>
      <x/>
      <x v="26"/>
      <x v="7"/>
      <x v="13"/>
      <x v="1"/>
    </i>
    <i>
      <x v="121"/>
      <x/>
      <x v="32"/>
      <x v="7"/>
      <x v="17"/>
      <x v="1"/>
    </i>
    <i>
      <x v="122"/>
      <x/>
      <x v="44"/>
      <x v="9"/>
      <x v="19"/>
      <x v="1"/>
    </i>
    <i>
      <x v="123"/>
      <x/>
      <x v="44"/>
      <x v="9"/>
      <x v="19"/>
      <x v="1"/>
    </i>
    <i>
      <x v="124"/>
      <x/>
      <x v="28"/>
      <x v="7"/>
      <x v="12"/>
      <x v="1"/>
    </i>
    <i>
      <x v="125"/>
      <x/>
      <x v="28"/>
      <x v="7"/>
      <x v="12"/>
      <x v="1"/>
    </i>
    <i>
      <x v="126"/>
      <x/>
      <x v="28"/>
      <x v="7"/>
      <x v="12"/>
      <x v="3"/>
    </i>
    <i>
      <x v="127"/>
      <x/>
      <x v="28"/>
      <x v="7"/>
      <x v="12"/>
      <x v="1"/>
    </i>
    <i>
      <x v="129"/>
      <x/>
      <x v="26"/>
      <x v="7"/>
      <x v="13"/>
      <x v="1"/>
    </i>
    <i>
      <x v="130"/>
      <x/>
      <x v="26"/>
      <x v="7"/>
      <x v="13"/>
      <x v="7"/>
    </i>
    <i>
      <x v="133"/>
      <x/>
      <x v="26"/>
      <x v="7"/>
      <x v="13"/>
      <x v="1"/>
    </i>
    <i>
      <x v="141"/>
      <x/>
      <x v="26"/>
      <x v="7"/>
      <x v="13"/>
      <x v="1"/>
    </i>
    <i>
      <x v="142"/>
      <x/>
      <x v="26"/>
      <x v="7"/>
      <x v="13"/>
      <x v="1"/>
    </i>
    <i>
      <x v="143"/>
      <x/>
      <x v="32"/>
      <x v="7"/>
      <x v="1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494">
      <pivotArea type="all" dataOnly="0" outline="0" fieldPosition="0"/>
    </format>
    <format dxfId="493">
      <pivotArea outline="0" collapsedLevelsAreSubtotals="1" fieldPosition="0"/>
    </format>
    <format dxfId="492">
      <pivotArea dataOnly="0" labelOnly="1" grandRow="1" outline="0" fieldPosition="0"/>
    </format>
    <format dxfId="4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0">
      <pivotArea type="all" dataOnly="0" outline="0" fieldPosition="0"/>
    </format>
    <format dxfId="489">
      <pivotArea outline="0" collapsedLevelsAreSubtotals="1" fieldPosition="0"/>
    </format>
    <format dxfId="488">
      <pivotArea dataOnly="0" labelOnly="1" grandRow="1" outline="0" fieldPosition="0"/>
    </format>
    <format dxfId="487">
      <pivotArea outline="0" collapsedLevelsAreSubtotals="1" fieldPosition="0"/>
    </format>
    <format dxfId="486">
      <pivotArea dataOnly="0" labelOnly="1" grandRow="1" outline="0" fieldPosition="0"/>
    </format>
    <format dxfId="4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9">
      <pivotArea dataOnly="0" labelOnly="1" grandRow="1" outline="0" fieldPosition="0"/>
    </format>
    <format dxfId="478">
      <pivotArea grandRow="1" outline="0" collapsedLevelsAreSubtotals="1" fieldPosition="0"/>
    </format>
    <format dxfId="477">
      <pivotArea dataOnly="0" labelOnly="1" grandRow="1" outline="0" fieldPosition="0"/>
    </format>
    <format dxfId="476">
      <pivotArea type="all" dataOnly="0" outline="0" fieldPosition="0"/>
    </format>
    <format dxfId="475">
      <pivotArea outline="0" collapsedLevelsAreSubtotals="1" fieldPosition="0"/>
    </format>
    <format dxfId="474">
      <pivotArea dataOnly="0" labelOnly="1" grandRow="1" outline="0" fieldPosition="0"/>
    </format>
    <format dxfId="4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0">
      <pivotArea field="12" type="button" dataOnly="0" labelOnly="1" outline="0" axis="axisRow" fieldPosition="2"/>
    </format>
    <format dxfId="469">
      <pivotArea field="19" type="button" dataOnly="0" labelOnly="1" outline="0" axis="axisRow" fieldPosition="5"/>
    </format>
    <format dxfId="468">
      <pivotArea field="11" type="button" dataOnly="0" labelOnly="1" outline="0" axis="axisRow" fieldPosition="3"/>
    </format>
    <format dxfId="467">
      <pivotArea field="11" type="button" dataOnly="0" labelOnly="1" outline="0" axis="axisRow" fieldPosition="3"/>
    </format>
    <format dxfId="466">
      <pivotArea field="15" type="button" dataOnly="0" labelOnly="1" outline="0" axis="axisRow" fieldPosition="4"/>
    </format>
    <format dxfId="465">
      <pivotArea field="15" type="button" dataOnly="0" labelOnly="1" outline="0" axis="axisRow" fieldPosition="4"/>
    </format>
    <format dxfId="464">
      <pivotArea field="19" type="button" dataOnly="0" labelOnly="1" outline="0" axis="axisRow" fieldPosition="5"/>
    </format>
    <format dxfId="463">
      <pivotArea field="12" type="button" dataOnly="0" labelOnly="1" outline="0" axis="axisRow" fieldPosition="2"/>
    </format>
    <format dxfId="462">
      <pivotArea field="6" type="button" dataOnly="0" labelOnly="1" outline="0" axis="axisRow" fieldPosition="0"/>
    </format>
    <format dxfId="461">
      <pivotArea field="6" type="button" dataOnly="0" labelOnly="1" outline="0" axis="axisRow" fieldPosition="0"/>
    </format>
    <format dxfId="46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59">
      <pivotArea dataOnly="0" labelOnly="1" grandRow="1" outline="0" offset="IV256" fieldPosition="0"/>
    </format>
    <format dxfId="458">
      <pivotArea grandRow="1" outline="0" collapsedLevelsAreSubtotals="1" fieldPosition="0"/>
    </format>
    <format dxfId="457">
      <pivotArea field="11" type="button" dataOnly="0" labelOnly="1" outline="0" axis="axisRow" fieldPosition="3"/>
    </format>
    <format dxfId="45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5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5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5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5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450">
      <pivotArea type="all" dataOnly="0" outline="0" fieldPosition="0"/>
    </format>
    <format dxfId="449">
      <pivotArea outline="0" collapsedLevelsAreSubtotals="1" fieldPosition="0"/>
    </format>
    <format dxfId="44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7">
      <pivotArea dataOnly="0" labelOnly="1" grandRow="1" outline="0" fieldPosition="0"/>
    </format>
    <format dxfId="4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5">
      <pivotArea type="all" dataOnly="0" outline="0" fieldPosition="0"/>
    </format>
    <format dxfId="444">
      <pivotArea outline="0" collapsedLevelsAreSubtotals="1" fieldPosition="0"/>
    </format>
    <format dxfId="44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2">
      <pivotArea dataOnly="0" labelOnly="1" grandRow="1" outline="0" fieldPosition="0"/>
    </format>
    <format dxfId="4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9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5">
    <i>
      <x v="100"/>
      <x v="6"/>
      <x v="46"/>
      <x v="9"/>
      <x v="24"/>
      <x v="1"/>
    </i>
    <i>
      <x v="107"/>
      <x v="6"/>
      <x v="52"/>
      <x v="9"/>
      <x v="27"/>
      <x v="1"/>
    </i>
    <i>
      <x v="113"/>
      <x v="6"/>
      <x v="49"/>
      <x v="9"/>
      <x v="26"/>
      <x v="1"/>
    </i>
    <i>
      <x v="115"/>
      <x v="6"/>
      <x v="50"/>
      <x v="9"/>
      <x v="23"/>
      <x v="1"/>
    </i>
    <i>
      <x v="117"/>
      <x v="6"/>
      <x v="50"/>
      <x v="9"/>
      <x v="23"/>
      <x v="1"/>
    </i>
    <i>
      <x v="121"/>
      <x v="6"/>
      <x v="43"/>
      <x v="9"/>
      <x v="18"/>
      <x v="1"/>
    </i>
    <i>
      <x v="122"/>
      <x v="6"/>
      <x v="44"/>
      <x v="9"/>
      <x v="19"/>
      <x v="1"/>
    </i>
    <i>
      <x v="123"/>
      <x v="6"/>
      <x v="44"/>
      <x v="9"/>
      <x v="19"/>
      <x v="1"/>
    </i>
    <i>
      <x v="125"/>
      <x v="6"/>
      <x v="51"/>
      <x v="9"/>
      <x v="19"/>
      <x v="1"/>
    </i>
    <i>
      <x v="128"/>
      <x v="6"/>
      <x v="51"/>
      <x v="9"/>
      <x v="19"/>
      <x v="1"/>
    </i>
    <i>
      <x v="129"/>
      <x v="6"/>
      <x v="50"/>
      <x v="9"/>
      <x v="23"/>
      <x v="1"/>
    </i>
    <i>
      <x v="140"/>
      <x v="6"/>
      <x/>
      <x v="9"/>
      <x/>
      <x/>
    </i>
    <i>
      <x v="142"/>
      <x v="6"/>
      <x v="50"/>
      <x v="9"/>
      <x v="23"/>
      <x v="1"/>
    </i>
    <i>
      <x v="144"/>
      <x v="6"/>
      <x v="43"/>
      <x v="9"/>
      <x v="1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grandRow="1" outline="0" fieldPosition="0"/>
    </format>
    <format dxfId="4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5">
      <pivotArea type="all" dataOnly="0" outline="0" fieldPosition="0"/>
    </format>
    <format dxfId="434">
      <pivotArea outline="0" collapsedLevelsAreSubtotals="1" fieldPosition="0"/>
    </format>
    <format dxfId="433">
      <pivotArea dataOnly="0" labelOnly="1" grandRow="1" outline="0" fieldPosition="0"/>
    </format>
    <format dxfId="432">
      <pivotArea outline="0" collapsedLevelsAreSubtotals="1" fieldPosition="0"/>
    </format>
    <format dxfId="431">
      <pivotArea dataOnly="0" labelOnly="1" grandRow="1" outline="0" fieldPosition="0"/>
    </format>
    <format dxfId="4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4">
      <pivotArea dataOnly="0" labelOnly="1" grandRow="1" outline="0" fieldPosition="0"/>
    </format>
    <format dxfId="423">
      <pivotArea grandRow="1" outline="0" collapsedLevelsAreSubtotals="1" fieldPosition="0"/>
    </format>
    <format dxfId="422">
      <pivotArea dataOnly="0" labelOnly="1" grandRow="1" outline="0" fieldPosition="0"/>
    </format>
    <format dxfId="421">
      <pivotArea type="all" dataOnly="0" outline="0" fieldPosition="0"/>
    </format>
    <format dxfId="420">
      <pivotArea outline="0" collapsedLevelsAreSubtotals="1" fieldPosition="0"/>
    </format>
    <format dxfId="419">
      <pivotArea dataOnly="0" labelOnly="1" grandRow="1" outline="0" fieldPosition="0"/>
    </format>
    <format dxfId="4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5">
      <pivotArea field="12" type="button" dataOnly="0" labelOnly="1" outline="0" axis="axisRow" fieldPosition="2"/>
    </format>
    <format dxfId="414">
      <pivotArea field="19" type="button" dataOnly="0" labelOnly="1" outline="0" axis="axisRow" fieldPosition="5"/>
    </format>
    <format dxfId="413">
      <pivotArea field="11" type="button" dataOnly="0" labelOnly="1" outline="0" axis="axisRow" fieldPosition="3"/>
    </format>
    <format dxfId="412">
      <pivotArea field="11" type="button" dataOnly="0" labelOnly="1" outline="0" axis="axisRow" fieldPosition="3"/>
    </format>
    <format dxfId="411">
      <pivotArea field="15" type="button" dataOnly="0" labelOnly="1" outline="0" axis="axisRow" fieldPosition="4"/>
    </format>
    <format dxfId="410">
      <pivotArea field="15" type="button" dataOnly="0" labelOnly="1" outline="0" axis="axisRow" fieldPosition="4"/>
    </format>
    <format dxfId="409">
      <pivotArea field="19" type="button" dataOnly="0" labelOnly="1" outline="0" axis="axisRow" fieldPosition="5"/>
    </format>
    <format dxfId="408">
      <pivotArea field="12" type="button" dataOnly="0" labelOnly="1" outline="0" axis="axisRow" fieldPosition="2"/>
    </format>
    <format dxfId="407">
      <pivotArea field="6" type="button" dataOnly="0" labelOnly="1" outline="0" axis="axisRow" fieldPosition="0"/>
    </format>
    <format dxfId="406">
      <pivotArea field="6" type="button" dataOnly="0" labelOnly="1" outline="0" axis="axisRow" fieldPosition="0"/>
    </format>
    <format dxfId="40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04">
      <pivotArea dataOnly="0" labelOnly="1" grandRow="1" outline="0" offset="IV256" fieldPosition="0"/>
    </format>
    <format dxfId="403">
      <pivotArea grandRow="1" outline="0" collapsedLevelsAreSubtotals="1" fieldPosition="0"/>
    </format>
    <format dxfId="402">
      <pivotArea field="11" type="button" dataOnly="0" labelOnly="1" outline="0" axis="axisRow" fieldPosition="3"/>
    </format>
    <format dxfId="40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0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9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9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9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9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92">
      <pivotArea dataOnly="0" labelOnly="1" grandRow="1" outline="0" fieldPosition="0"/>
    </format>
    <format dxfId="3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0">
      <pivotArea type="all" dataOnly="0" outline="0" fieldPosition="0"/>
    </format>
    <format dxfId="389">
      <pivotArea outline="0" collapsedLevelsAreSubtotals="1" fieldPosition="0"/>
    </format>
    <format dxfId="38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87">
      <pivotArea dataOnly="0" labelOnly="1" grandRow="1" outline="0" fieldPosition="0"/>
    </format>
    <format dxfId="3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8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3">
    <i>
      <x v="113"/>
      <x/>
      <x v="33"/>
      <x v="7"/>
      <x v="14"/>
      <x v="1"/>
    </i>
    <i>
      <x v="120"/>
      <x/>
      <x v="29"/>
      <x v="7"/>
      <x v="15"/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grandRow="1" outline="0" fieldPosition="0"/>
    </format>
    <format dxfId="3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dataOnly="0" labelOnly="1" grandRow="1" outline="0" fieldPosition="0"/>
    </format>
    <format dxfId="377">
      <pivotArea outline="0" collapsedLevelsAreSubtotals="1" fieldPosition="0"/>
    </format>
    <format dxfId="376">
      <pivotArea dataOnly="0" labelOnly="1" grandRow="1" outline="0" fieldPosition="0"/>
    </format>
    <format dxfId="3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9">
      <pivotArea dataOnly="0" labelOnly="1" grandRow="1" outline="0" fieldPosition="0"/>
    </format>
    <format dxfId="368">
      <pivotArea grandRow="1" outline="0" collapsedLevelsAreSubtotals="1" fieldPosition="0"/>
    </format>
    <format dxfId="367">
      <pivotArea dataOnly="0" labelOnly="1" grandRow="1" outline="0" fieldPosition="0"/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0">
      <pivotArea field="12" type="button" dataOnly="0" labelOnly="1" outline="0" axis="axisRow" fieldPosition="2"/>
    </format>
    <format dxfId="359">
      <pivotArea field="19" type="button" dataOnly="0" labelOnly="1" outline="0" axis="axisRow" fieldPosition="5"/>
    </format>
    <format dxfId="358">
      <pivotArea field="11" type="button" dataOnly="0" labelOnly="1" outline="0" axis="axisRow" fieldPosition="3"/>
    </format>
    <format dxfId="357">
      <pivotArea field="11" type="button" dataOnly="0" labelOnly="1" outline="0" axis="axisRow" fieldPosition="3"/>
    </format>
    <format dxfId="356">
      <pivotArea field="15" type="button" dataOnly="0" labelOnly="1" outline="0" axis="axisRow" fieldPosition="4"/>
    </format>
    <format dxfId="355">
      <pivotArea field="15" type="button" dataOnly="0" labelOnly="1" outline="0" axis="axisRow" fieldPosition="4"/>
    </format>
    <format dxfId="354">
      <pivotArea field="19" type="button" dataOnly="0" labelOnly="1" outline="0" axis="axisRow" fieldPosition="5"/>
    </format>
    <format dxfId="353">
      <pivotArea field="12" type="button" dataOnly="0" labelOnly="1" outline="0" axis="axisRow" fieldPosition="2"/>
    </format>
    <format dxfId="352">
      <pivotArea field="6" type="button" dataOnly="0" labelOnly="1" outline="0" axis="axisRow" fieldPosition="0"/>
    </format>
    <format dxfId="351">
      <pivotArea field="6" type="button" dataOnly="0" labelOnly="1" outline="0" axis="axisRow" fieldPosition="0"/>
    </format>
    <format dxfId="35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9">
      <pivotArea dataOnly="0" labelOnly="1" grandRow="1" outline="0" offset="IV256" fieldPosition="0"/>
    </format>
    <format dxfId="348">
      <pivotArea grandRow="1" outline="0" collapsedLevelsAreSubtotals="1" fieldPosition="0"/>
    </format>
    <format dxfId="347">
      <pivotArea field="11" type="button" dataOnly="0" labelOnly="1" outline="0" axis="axisRow" fieldPosition="3"/>
    </format>
    <format dxfId="34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4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4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4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4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4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340">
      <pivotArea type="all" dataOnly="0" outline="0" fieldPosition="0"/>
    </format>
    <format dxfId="339">
      <pivotArea outline="0" collapsedLevelsAreSubtotals="1" fieldPosition="0"/>
    </format>
    <format dxfId="33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7">
      <pivotArea dataOnly="0" labelOnly="1" grandRow="1" outline="0" fieldPosition="0"/>
    </format>
    <format dxfId="3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5">
      <pivotArea type="all" dataOnly="0" outline="0" fieldPosition="0"/>
    </format>
    <format dxfId="334">
      <pivotArea outline="0" collapsedLevelsAreSubtotals="1" fieldPosition="0"/>
    </format>
    <format dxfId="33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2">
      <pivotArea dataOnly="0" labelOnly="1" grandRow="1" outline="0" fieldPosition="0"/>
    </format>
    <format dxfId="3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2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22">
    <i>
      <x v="7"/>
      <x/>
      <x v="13"/>
      <x v="4"/>
      <x v="8"/>
      <x v="1"/>
    </i>
    <i>
      <x v="10"/>
      <x/>
      <x v="13"/>
      <x v="4"/>
      <x v="8"/>
      <x v="1"/>
    </i>
    <i>
      <x v="14"/>
      <x/>
      <x v="13"/>
      <x v="4"/>
      <x v="8"/>
      <x v="1"/>
    </i>
    <i>
      <x v="22"/>
      <x/>
      <x v="16"/>
      <x v="4"/>
      <x v="4"/>
      <x v="1"/>
    </i>
    <i>
      <x v="30"/>
      <x/>
      <x v="13"/>
      <x v="4"/>
      <x v="8"/>
      <x v="4"/>
    </i>
    <i>
      <x v="32"/>
      <x/>
      <x v="13"/>
      <x v="4"/>
      <x v="8"/>
      <x v="1"/>
    </i>
    <i>
      <x v="46"/>
      <x/>
      <x v="13"/>
      <x v="4"/>
      <x v="8"/>
      <x v="1"/>
    </i>
    <i>
      <x v="48"/>
      <x/>
      <x v="13"/>
      <x v="4"/>
      <x v="8"/>
      <x v="1"/>
    </i>
    <i>
      <x v="55"/>
      <x/>
      <x v="13"/>
      <x v="4"/>
      <x v="8"/>
      <x v="1"/>
    </i>
    <i>
      <x v="64"/>
      <x/>
      <x v="17"/>
      <x v="4"/>
      <x v="2"/>
      <x v="1"/>
    </i>
    <i>
      <x v="65"/>
      <x/>
      <x v="13"/>
      <x v="4"/>
      <x v="8"/>
      <x v="1"/>
    </i>
    <i>
      <x v="91"/>
      <x/>
      <x v="13"/>
      <x v="4"/>
      <x v="8"/>
      <x v="1"/>
    </i>
    <i>
      <x v="99"/>
      <x/>
      <x v="13"/>
      <x v="4"/>
      <x v="8"/>
      <x v="1"/>
    </i>
    <i>
      <x v="113"/>
      <x v="7"/>
      <x v="49"/>
      <x v="9"/>
      <x v="26"/>
      <x v="1"/>
    </i>
    <i>
      <x v="117"/>
      <x v="7"/>
      <x v="50"/>
      <x v="9"/>
      <x v="23"/>
      <x v="1"/>
    </i>
    <i>
      <x v="120"/>
      <x v="7"/>
      <x v="53"/>
      <x v="9"/>
      <x v="28"/>
      <x v="10"/>
    </i>
    <i>
      <x v="121"/>
      <x v="7"/>
      <x v="43"/>
      <x v="9"/>
      <x v="18"/>
      <x v="1"/>
    </i>
    <i>
      <x v="122"/>
      <x v="7"/>
      <x v="44"/>
      <x v="9"/>
      <x v="19"/>
      <x v="1"/>
    </i>
    <i>
      <x v="123"/>
      <x v="7"/>
      <x v="44"/>
      <x v="9"/>
      <x v="19"/>
      <x v="1"/>
    </i>
    <i>
      <x v="140"/>
      <x v="7"/>
      <x/>
      <x v="9"/>
      <x/>
      <x/>
    </i>
    <i>
      <x v="143"/>
      <x v="7"/>
      <x v="43"/>
      <x v="9"/>
      <x v="1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329">
      <pivotArea type="all" dataOnly="0" outline="0" fieldPosition="0"/>
    </format>
    <format dxfId="328">
      <pivotArea outline="0" collapsedLevelsAreSubtotals="1" fieldPosition="0"/>
    </format>
    <format dxfId="327">
      <pivotArea dataOnly="0" labelOnly="1" grandRow="1" outline="0" fieldPosition="0"/>
    </format>
    <format dxfId="3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5">
      <pivotArea type="all" dataOnly="0" outline="0" fieldPosition="0"/>
    </format>
    <format dxfId="324">
      <pivotArea outline="0" collapsedLevelsAreSubtotals="1" fieldPosition="0"/>
    </format>
    <format dxfId="323">
      <pivotArea dataOnly="0" labelOnly="1" grandRow="1" outline="0" fieldPosition="0"/>
    </format>
    <format dxfId="322">
      <pivotArea outline="0" collapsedLevelsAreSubtotals="1" fieldPosition="0"/>
    </format>
    <format dxfId="321">
      <pivotArea dataOnly="0" labelOnly="1" grandRow="1" outline="0" fieldPosition="0"/>
    </format>
    <format dxfId="3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4">
      <pivotArea dataOnly="0" labelOnly="1" grandRow="1" outline="0" fieldPosition="0"/>
    </format>
    <format dxfId="313">
      <pivotArea grandRow="1" outline="0" collapsedLevelsAreSubtotals="1" fieldPosition="0"/>
    </format>
    <format dxfId="312">
      <pivotArea dataOnly="0" labelOnly="1" grandRow="1" outline="0" fieldPosition="0"/>
    </format>
    <format dxfId="311">
      <pivotArea type="all" dataOnly="0" outline="0" fieldPosition="0"/>
    </format>
    <format dxfId="310">
      <pivotArea outline="0" collapsedLevelsAreSubtotals="1" fieldPosition="0"/>
    </format>
    <format dxfId="309">
      <pivotArea dataOnly="0" labelOnly="1" grandRow="1" outline="0" fieldPosition="0"/>
    </format>
    <format dxfId="3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5">
      <pivotArea field="12" type="button" dataOnly="0" labelOnly="1" outline="0" axis="axisRow" fieldPosition="2"/>
    </format>
    <format dxfId="304">
      <pivotArea field="19" type="button" dataOnly="0" labelOnly="1" outline="0" axis="axisRow" fieldPosition="5"/>
    </format>
    <format dxfId="303">
      <pivotArea field="11" type="button" dataOnly="0" labelOnly="1" outline="0" axis="axisRow" fieldPosition="3"/>
    </format>
    <format dxfId="302">
      <pivotArea field="11" type="button" dataOnly="0" labelOnly="1" outline="0" axis="axisRow" fieldPosition="3"/>
    </format>
    <format dxfId="301">
      <pivotArea field="15" type="button" dataOnly="0" labelOnly="1" outline="0" axis="axisRow" fieldPosition="4"/>
    </format>
    <format dxfId="300">
      <pivotArea field="15" type="button" dataOnly="0" labelOnly="1" outline="0" axis="axisRow" fieldPosition="4"/>
    </format>
    <format dxfId="299">
      <pivotArea field="19" type="button" dataOnly="0" labelOnly="1" outline="0" axis="axisRow" fieldPosition="5"/>
    </format>
    <format dxfId="298">
      <pivotArea field="12" type="button" dataOnly="0" labelOnly="1" outline="0" axis="axisRow" fieldPosition="2"/>
    </format>
    <format dxfId="297">
      <pivotArea field="6" type="button" dataOnly="0" labelOnly="1" outline="0" axis="axisRow" fieldPosition="0"/>
    </format>
    <format dxfId="296">
      <pivotArea field="6" type="button" dataOnly="0" labelOnly="1" outline="0" axis="axisRow" fieldPosition="0"/>
    </format>
    <format dxfId="29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94">
      <pivotArea dataOnly="0" labelOnly="1" grandRow="1" outline="0" offset="IV256" fieldPosition="0"/>
    </format>
    <format dxfId="293">
      <pivotArea grandRow="1" outline="0" collapsedLevelsAreSubtotals="1" fieldPosition="0"/>
    </format>
    <format dxfId="292">
      <pivotArea field="11" type="button" dataOnly="0" labelOnly="1" outline="0" axis="axisRow" fieldPosition="3"/>
    </format>
    <format dxfId="29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9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8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8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8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85">
      <pivotArea type="all" dataOnly="0" outline="0" fieldPosition="0"/>
    </format>
    <format dxfId="284">
      <pivotArea outline="0" collapsedLevelsAreSubtotals="1" fieldPosition="0"/>
    </format>
    <format dxfId="28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82">
      <pivotArea dataOnly="0" labelOnly="1" grandRow="1" outline="0" fieldPosition="0"/>
    </format>
    <format dxfId="2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77">
      <pivotArea dataOnly="0" labelOnly="1" grandRow="1" outline="0" fieldPosition="0"/>
    </format>
    <format dxfId="2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48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4"/>
        <item h="1" x="15"/>
        <item h="1" x="10"/>
        <item x="2"/>
        <item h="1" x="13"/>
        <item h="1" x="8"/>
        <item h="1" x="16"/>
        <item h="1" x="9"/>
        <item h="1" x="1"/>
        <item h="1" x="3"/>
        <item h="1" x="4"/>
        <item h="1" x="5"/>
        <item h="1" x="6"/>
        <item h="1" x="7"/>
        <item h="1" x="11"/>
        <item h="1" x="12"/>
        <item h="1" x="17"/>
        <item h="1" x="18"/>
        <item h="1" x="19"/>
        <item h="1" x="20"/>
        <item h="1" x="21"/>
        <item h="1" x="22"/>
        <item h="1"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0"/>
        <item x="1"/>
        <item x="2"/>
        <item x="3"/>
        <item x="4"/>
        <item m="1" x="9"/>
        <item x="6"/>
        <item m="1" x="10"/>
        <item x="8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44">
    <i>
      <x v="7"/>
      <x/>
      <x v="5"/>
      <x v="1"/>
      <x v="1"/>
      <x/>
    </i>
    <i>
      <x v="8"/>
      <x/>
      <x v="5"/>
      <x v="1"/>
      <x v="1"/>
      <x/>
    </i>
    <i>
      <x v="11"/>
      <x/>
      <x v="5"/>
      <x v="1"/>
      <x v="1"/>
      <x/>
    </i>
    <i>
      <x v="21"/>
      <x/>
      <x v="5"/>
      <x v="1"/>
      <x v="1"/>
      <x/>
    </i>
    <i>
      <x v="22"/>
      <x/>
      <x v="8"/>
      <x v="3"/>
      <x v="6"/>
      <x/>
    </i>
    <i>
      <x v="23"/>
      <x/>
      <x v="9"/>
      <x v="1"/>
      <x v="3"/>
      <x/>
    </i>
    <i>
      <x v="24"/>
      <x/>
      <x v="5"/>
      <x v="1"/>
      <x v="1"/>
      <x/>
    </i>
    <i>
      <x v="38"/>
      <x/>
      <x v="6"/>
      <x v="1"/>
      <x v="1"/>
      <x/>
    </i>
    <i>
      <x v="40"/>
      <x/>
      <x v="7"/>
      <x v="1"/>
      <x v="5"/>
      <x/>
    </i>
    <i>
      <x v="43"/>
      <x/>
      <x v="5"/>
      <x v="1"/>
      <x v="1"/>
      <x/>
    </i>
    <i r="2">
      <x v="13"/>
      <x v="4"/>
      <x v="8"/>
      <x/>
    </i>
    <i>
      <x v="46"/>
      <x/>
      <x v="5"/>
      <x v="2"/>
      <x v="1"/>
      <x/>
    </i>
    <i>
      <x v="48"/>
      <x/>
      <x v="5"/>
      <x v="1"/>
      <x v="1"/>
      <x/>
    </i>
    <i>
      <x v="49"/>
      <x/>
      <x v="6"/>
      <x v="1"/>
      <x v="1"/>
      <x/>
    </i>
    <i>
      <x v="53"/>
      <x/>
      <x v="6"/>
      <x v="2"/>
      <x v="1"/>
      <x/>
    </i>
    <i>
      <x v="55"/>
      <x/>
      <x v="5"/>
      <x v="1"/>
      <x v="1"/>
      <x/>
    </i>
    <i>
      <x v="60"/>
      <x/>
      <x v="5"/>
      <x v="1"/>
      <x v="1"/>
      <x/>
    </i>
    <i>
      <x v="62"/>
      <x/>
      <x v="5"/>
      <x v="1"/>
      <x v="1"/>
      <x/>
    </i>
    <i>
      <x v="65"/>
      <x/>
      <x v="5"/>
      <x v="1"/>
      <x v="1"/>
      <x/>
    </i>
    <i>
      <x v="71"/>
      <x/>
      <x v="5"/>
      <x v="1"/>
      <x v="1"/>
      <x/>
    </i>
    <i>
      <x v="73"/>
      <x/>
      <x v="5"/>
      <x v="1"/>
      <x v="1"/>
      <x/>
    </i>
    <i>
      <x v="74"/>
      <x/>
      <x v="5"/>
      <x v="1"/>
      <x v="1"/>
      <x/>
    </i>
    <i>
      <x v="75"/>
      <x/>
      <x v="5"/>
      <x v="1"/>
      <x v="1"/>
      <x/>
    </i>
    <i>
      <x v="76"/>
      <x/>
      <x v="5"/>
      <x v="1"/>
      <x v="1"/>
      <x/>
    </i>
    <i>
      <x v="77"/>
      <x/>
      <x v="5"/>
      <x v="1"/>
      <x v="1"/>
      <x/>
    </i>
    <i>
      <x v="78"/>
      <x/>
      <x v="5"/>
      <x v="1"/>
      <x v="1"/>
      <x/>
    </i>
    <i>
      <x v="85"/>
      <x/>
      <x v="6"/>
      <x v="2"/>
      <x v="1"/>
      <x/>
    </i>
    <i>
      <x v="86"/>
      <x/>
      <x v="8"/>
      <x v="1"/>
      <x v="6"/>
      <x/>
    </i>
    <i>
      <x v="91"/>
      <x/>
      <x v="6"/>
      <x v="1"/>
      <x v="1"/>
      <x/>
    </i>
    <i>
      <x v="93"/>
      <x/>
      <x v="6"/>
      <x v="1"/>
      <x v="1"/>
      <x/>
    </i>
    <i>
      <x v="94"/>
      <x/>
      <x v="5"/>
      <x v="1"/>
      <x v="1"/>
      <x/>
    </i>
    <i>
      <x v="95"/>
      <x/>
      <x v="5"/>
      <x v="1"/>
      <x v="1"/>
      <x/>
    </i>
    <i r="2">
      <x v="13"/>
      <x v="4"/>
      <x v="8"/>
      <x/>
    </i>
    <i>
      <x v="101"/>
      <x/>
      <x v="27"/>
      <x v="7"/>
      <x v="10"/>
      <x/>
    </i>
    <i>
      <x v="103"/>
      <x/>
      <x v="28"/>
      <x v="7"/>
      <x v="12"/>
      <x/>
    </i>
    <i>
      <x v="104"/>
      <x/>
      <x v="28"/>
      <x v="7"/>
      <x v="12"/>
      <x/>
    </i>
    <i>
      <x v="106"/>
      <x/>
      <x v="28"/>
      <x v="7"/>
      <x v="12"/>
      <x/>
    </i>
    <i>
      <x v="107"/>
      <x/>
      <x v="26"/>
      <x v="7"/>
      <x v="13"/>
      <x/>
    </i>
    <i>
      <x v="110"/>
      <x/>
      <x v="26"/>
      <x v="7"/>
      <x v="13"/>
      <x/>
    </i>
    <i>
      <x v="113"/>
      <x/>
      <x v="26"/>
      <x v="7"/>
      <x v="13"/>
      <x/>
    </i>
    <i>
      <x v="115"/>
      <x/>
      <x v="28"/>
      <x v="7"/>
      <x v="12"/>
      <x/>
    </i>
    <i>
      <x v="116"/>
      <x/>
      <x v="26"/>
      <x v="7"/>
      <x v="13"/>
      <x/>
    </i>
    <i>
      <x v="134"/>
      <x/>
      <x v="44"/>
      <x v="9"/>
      <x v="19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264">
      <pivotArea type="all" dataOnly="0" outline="0" fieldPosition="0"/>
    </format>
    <format dxfId="1263">
      <pivotArea outline="0" collapsedLevelsAreSubtotals="1" fieldPosition="0"/>
    </format>
    <format dxfId="1262">
      <pivotArea dataOnly="0" labelOnly="1" grandRow="1" outline="0" fieldPosition="0"/>
    </format>
    <format dxfId="12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0">
      <pivotArea type="all" dataOnly="0" outline="0" fieldPosition="0"/>
    </format>
    <format dxfId="1259">
      <pivotArea outline="0" collapsedLevelsAreSubtotals="1" fieldPosition="0"/>
    </format>
    <format dxfId="1258">
      <pivotArea dataOnly="0" labelOnly="1" grandRow="1" outline="0" fieldPosition="0"/>
    </format>
    <format dxfId="1257">
      <pivotArea outline="0" collapsedLevelsAreSubtotals="1" fieldPosition="0"/>
    </format>
    <format dxfId="1256">
      <pivotArea dataOnly="0" labelOnly="1" grandRow="1" outline="0" fieldPosition="0"/>
    </format>
    <format dxfId="12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9">
      <pivotArea dataOnly="0" labelOnly="1" grandRow="1" outline="0" fieldPosition="0"/>
    </format>
    <format dxfId="1248">
      <pivotArea grandRow="1" outline="0" collapsedLevelsAreSubtotals="1" fieldPosition="0"/>
    </format>
    <format dxfId="1247">
      <pivotArea dataOnly="0" labelOnly="1" grandRow="1" outline="0" fieldPosition="0"/>
    </format>
    <format dxfId="1246">
      <pivotArea type="all" dataOnly="0" outline="0" fieldPosition="0"/>
    </format>
    <format dxfId="1245">
      <pivotArea outline="0" collapsedLevelsAreSubtotals="1" fieldPosition="0"/>
    </format>
    <format dxfId="1244">
      <pivotArea dataOnly="0" labelOnly="1" grandRow="1" outline="0" fieldPosition="0"/>
    </format>
    <format dxfId="12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0">
      <pivotArea field="12" type="button" dataOnly="0" labelOnly="1" outline="0" axis="axisRow" fieldPosition="2"/>
    </format>
    <format dxfId="1239">
      <pivotArea field="19" type="button" dataOnly="0" labelOnly="1" outline="0" axis="axisRow" fieldPosition="5"/>
    </format>
    <format dxfId="1238">
      <pivotArea field="11" type="button" dataOnly="0" labelOnly="1" outline="0" axis="axisRow" fieldPosition="3"/>
    </format>
    <format dxfId="1237">
      <pivotArea field="11" type="button" dataOnly="0" labelOnly="1" outline="0" axis="axisRow" fieldPosition="3"/>
    </format>
    <format dxfId="1236">
      <pivotArea field="15" type="button" dataOnly="0" labelOnly="1" outline="0" axis="axisRow" fieldPosition="4"/>
    </format>
    <format dxfId="1235">
      <pivotArea field="15" type="button" dataOnly="0" labelOnly="1" outline="0" axis="axisRow" fieldPosition="4"/>
    </format>
    <format dxfId="1234">
      <pivotArea field="19" type="button" dataOnly="0" labelOnly="1" outline="0" axis="axisRow" fieldPosition="5"/>
    </format>
    <format dxfId="1233">
      <pivotArea field="12" type="button" dataOnly="0" labelOnly="1" outline="0" axis="axisRow" fieldPosition="2"/>
    </format>
    <format dxfId="1232">
      <pivotArea field="6" type="button" dataOnly="0" labelOnly="1" outline="0" axis="axisRow" fieldPosition="0"/>
    </format>
    <format dxfId="1231">
      <pivotArea field="6" type="button" dataOnly="0" labelOnly="1" outline="0" axis="axisRow" fieldPosition="0"/>
    </format>
    <format dxfId="123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29">
      <pivotArea dataOnly="0" labelOnly="1" grandRow="1" outline="0" offset="IV256" fieldPosition="0"/>
    </format>
    <format dxfId="1228">
      <pivotArea grandRow="1" outline="0" collapsedLevelsAreSubtotals="1" fieldPosition="0"/>
    </format>
    <format dxfId="1227">
      <pivotArea field="11" type="button" dataOnly="0" labelOnly="1" outline="0" axis="axisRow" fieldPosition="3"/>
    </format>
    <format dxfId="122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2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22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2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2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20">
      <pivotArea type="all" dataOnly="0" outline="0" fieldPosition="0"/>
    </format>
    <format dxfId="1219">
      <pivotArea outline="0" collapsedLevelsAreSubtotals="1" fieldPosition="0"/>
    </format>
    <format dxfId="121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17">
      <pivotArea dataOnly="0" labelOnly="1" grandRow="1" outline="0" fieldPosition="0"/>
    </format>
    <format dxfId="12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5">
      <pivotArea type="all" dataOnly="0" outline="0" fieldPosition="0"/>
    </format>
    <format dxfId="1214">
      <pivotArea outline="0" collapsedLevelsAreSubtotals="1" fieldPosition="0"/>
    </format>
    <format dxfId="121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12">
      <pivotArea dataOnly="0" labelOnly="1" grandRow="1" outline="0" fieldPosition="0"/>
    </format>
    <format dxfId="12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2">
    <i>
      <x v="23"/>
      <x/>
      <x v="14"/>
      <x v="4"/>
      <x v="3"/>
      <x v="1"/>
    </i>
    <i>
      <x v="24"/>
      <x/>
      <x v="13"/>
      <x v="4"/>
      <x v="8"/>
      <x v="1"/>
    </i>
    <i>
      <x v="47"/>
      <x/>
      <x v="13"/>
      <x v="4"/>
      <x v="8"/>
      <x v="1"/>
    </i>
    <i>
      <x v="55"/>
      <x/>
      <x v="5"/>
      <x v="1"/>
      <x v="1"/>
      <x v="1"/>
    </i>
    <i>
      <x v="76"/>
      <x/>
      <x v="5"/>
      <x v="1"/>
      <x v="1"/>
      <x v="1"/>
    </i>
    <i r="2">
      <x v="13"/>
      <x v="4"/>
      <x v="8"/>
      <x v="1"/>
    </i>
    <i>
      <x v="77"/>
      <x/>
      <x v="5"/>
      <x v="1"/>
      <x v="1"/>
      <x v="1"/>
    </i>
    <i r="2">
      <x v="13"/>
      <x v="4"/>
      <x v="8"/>
      <x v="1"/>
    </i>
    <i>
      <x v="78"/>
      <x/>
      <x v="5"/>
      <x v="1"/>
      <x v="1"/>
      <x v="1"/>
    </i>
    <i>
      <x v="121"/>
      <x/>
      <x v="32"/>
      <x v="7"/>
      <x v="17"/>
      <x v="1"/>
    </i>
    <i>
      <x v="144"/>
      <x/>
      <x v="32"/>
      <x v="7"/>
      <x v="1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274">
      <pivotArea type="all" dataOnly="0" outline="0" fieldPosition="0"/>
    </format>
    <format dxfId="273">
      <pivotArea outline="0" collapsedLevelsAreSubtotals="1" fieldPosition="0"/>
    </format>
    <format dxfId="272">
      <pivotArea dataOnly="0" labelOnly="1" grandRow="1" outline="0" fieldPosition="0"/>
    </format>
    <format dxfId="2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dataOnly="0" labelOnly="1" grandRow="1" outline="0" fieldPosition="0"/>
    </format>
    <format dxfId="267">
      <pivotArea outline="0" collapsedLevelsAreSubtotals="1" fieldPosition="0"/>
    </format>
    <format dxfId="266">
      <pivotArea dataOnly="0" labelOnly="1" grandRow="1" outline="0" fieldPosition="0"/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9">
      <pivotArea dataOnly="0" labelOnly="1" grandRow="1" outline="0" fieldPosition="0"/>
    </format>
    <format dxfId="258">
      <pivotArea grandRow="1" outline="0" collapsedLevelsAreSubtotals="1" fieldPosition="0"/>
    </format>
    <format dxfId="257">
      <pivotArea dataOnly="0" labelOnly="1" grandRow="1" outline="0" fieldPosition="0"/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grandRow="1" outline="0" fieldPosition="0"/>
    </format>
    <format dxfId="2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0">
      <pivotArea field="12" type="button" dataOnly="0" labelOnly="1" outline="0" axis="axisRow" fieldPosition="2"/>
    </format>
    <format dxfId="249">
      <pivotArea field="19" type="button" dataOnly="0" labelOnly="1" outline="0" axis="axisRow" fieldPosition="5"/>
    </format>
    <format dxfId="248">
      <pivotArea field="11" type="button" dataOnly="0" labelOnly="1" outline="0" axis="axisRow" fieldPosition="3"/>
    </format>
    <format dxfId="247">
      <pivotArea field="11" type="button" dataOnly="0" labelOnly="1" outline="0" axis="axisRow" fieldPosition="3"/>
    </format>
    <format dxfId="246">
      <pivotArea field="15" type="button" dataOnly="0" labelOnly="1" outline="0" axis="axisRow" fieldPosition="4"/>
    </format>
    <format dxfId="245">
      <pivotArea field="15" type="button" dataOnly="0" labelOnly="1" outline="0" axis="axisRow" fieldPosition="4"/>
    </format>
    <format dxfId="244">
      <pivotArea field="19" type="button" dataOnly="0" labelOnly="1" outline="0" axis="axisRow" fieldPosition="5"/>
    </format>
    <format dxfId="243">
      <pivotArea field="12" type="button" dataOnly="0" labelOnly="1" outline="0" axis="axisRow" fieldPosition="2"/>
    </format>
    <format dxfId="242">
      <pivotArea field="6" type="button" dataOnly="0" labelOnly="1" outline="0" axis="axisRow" fieldPosition="0"/>
    </format>
    <format dxfId="241">
      <pivotArea field="6" type="button" dataOnly="0" labelOnly="1" outline="0" axis="axisRow" fieldPosition="0"/>
    </format>
    <format dxfId="24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39">
      <pivotArea dataOnly="0" labelOnly="1" grandRow="1" outline="0" offset="IV256" fieldPosition="0"/>
    </format>
    <format dxfId="238">
      <pivotArea grandRow="1" outline="0" collapsedLevelsAreSubtotals="1" fieldPosition="0"/>
    </format>
    <format dxfId="237">
      <pivotArea field="11" type="button" dataOnly="0" labelOnly="1" outline="0" axis="axisRow" fieldPosition="3"/>
    </format>
    <format dxfId="23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3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3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3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3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3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27">
      <pivotArea dataOnly="0" labelOnly="1" grandRow="1" outline="0" fieldPosition="0"/>
    </format>
    <format dxfId="2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22">
      <pivotArea dataOnly="0" labelOnly="1" grandRow="1" outline="0" fieldPosition="0"/>
    </format>
    <format dxfId="2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38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34">
    <i>
      <x/>
      <x/>
      <x v="13"/>
      <x v="4"/>
      <x v="8"/>
      <x v="1"/>
    </i>
    <i>
      <x v="2"/>
      <x/>
      <x v="13"/>
      <x v="4"/>
      <x v="8"/>
      <x v="1"/>
    </i>
    <i>
      <x v="20"/>
      <x/>
      <x v="13"/>
      <x v="4"/>
      <x v="8"/>
      <x v="1"/>
    </i>
    <i>
      <x v="22"/>
      <x/>
      <x v="8"/>
      <x v="1"/>
      <x v="6"/>
      <x v="1"/>
    </i>
    <i r="2">
      <x v="16"/>
      <x v="4"/>
      <x v="4"/>
      <x v="1"/>
    </i>
    <i>
      <x v="29"/>
      <x/>
      <x v="13"/>
      <x v="4"/>
      <x v="8"/>
      <x v="1"/>
    </i>
    <i>
      <x v="33"/>
      <x/>
      <x v="13"/>
      <x v="4"/>
      <x v="8"/>
      <x v="1"/>
    </i>
    <i>
      <x v="35"/>
      <x/>
      <x v="13"/>
      <x v="4"/>
      <x v="8"/>
      <x v="1"/>
    </i>
    <i>
      <x v="44"/>
      <x/>
      <x/>
      <x/>
      <x/>
      <x v="2"/>
    </i>
    <i>
      <x v="51"/>
      <x/>
      <x v="13"/>
      <x v="4"/>
      <x v="8"/>
      <x v="1"/>
    </i>
    <i>
      <x v="52"/>
      <x/>
      <x v="15"/>
      <x v="6"/>
      <x v="8"/>
      <x v="1"/>
    </i>
    <i>
      <x v="53"/>
      <x/>
      <x v="13"/>
      <x v="4"/>
      <x v="8"/>
      <x v="1"/>
    </i>
    <i>
      <x v="54"/>
      <x/>
      <x v="13"/>
      <x v="4"/>
      <x v="8"/>
      <x v="1"/>
    </i>
    <i>
      <x v="76"/>
      <x/>
      <x v="13"/>
      <x v="4"/>
      <x v="8"/>
      <x v="1"/>
    </i>
    <i>
      <x v="89"/>
      <x/>
      <x v="13"/>
      <x v="4"/>
      <x v="8"/>
      <x v="4"/>
    </i>
    <i>
      <x v="96"/>
      <x/>
      <x v="13"/>
      <x v="4"/>
      <x v="8"/>
      <x v="4"/>
    </i>
    <i>
      <x v="100"/>
      <x/>
      <x v="31"/>
      <x v="8"/>
      <x v="12"/>
      <x v="1"/>
    </i>
    <i r="1">
      <x v="8"/>
      <x v="46"/>
      <x v="9"/>
      <x v="24"/>
      <x v="1"/>
    </i>
    <i>
      <x v="102"/>
      <x v="8"/>
      <x v="47"/>
      <x v="9"/>
      <x v="21"/>
      <x v="1"/>
    </i>
    <i>
      <x v="113"/>
      <x v="8"/>
      <x v="49"/>
      <x v="9"/>
      <x v="26"/>
      <x v="1"/>
    </i>
    <i>
      <x v="114"/>
      <x v="8"/>
      <x v="48"/>
      <x v="9"/>
      <x v="18"/>
      <x v="1"/>
    </i>
    <i>
      <x v="115"/>
      <x v="8"/>
      <x v="50"/>
      <x v="9"/>
      <x v="23"/>
      <x v="1"/>
    </i>
    <i>
      <x v="116"/>
      <x v="8"/>
      <x v="50"/>
      <x v="9"/>
      <x v="23"/>
      <x v="1"/>
    </i>
    <i>
      <x v="117"/>
      <x v="8"/>
      <x v="50"/>
      <x v="9"/>
      <x v="23"/>
      <x v="1"/>
    </i>
    <i>
      <x v="122"/>
      <x v="8"/>
      <x v="44"/>
      <x v="9"/>
      <x v="19"/>
      <x v="1"/>
    </i>
    <i>
      <x v="123"/>
      <x v="8"/>
      <x v="44"/>
      <x v="9"/>
      <x v="19"/>
      <x v="1"/>
    </i>
    <i>
      <x v="131"/>
      <x/>
      <x v="31"/>
      <x v="7"/>
      <x v="12"/>
      <x v="1"/>
    </i>
    <i r="1">
      <x v="8"/>
      <x v="46"/>
      <x v="9"/>
      <x v="24"/>
      <x v="1"/>
    </i>
    <i>
      <x v="133"/>
      <x v="8"/>
      <x v="50"/>
      <x v="9"/>
      <x v="23"/>
      <x v="1"/>
    </i>
    <i>
      <x v="137"/>
      <x v="8"/>
      <x v="45"/>
      <x v="9"/>
      <x v="25"/>
      <x v="1"/>
    </i>
    <i>
      <x v="138"/>
      <x v="8"/>
      <x v="45"/>
      <x v="9"/>
      <x v="25"/>
      <x v="1"/>
    </i>
    <i>
      <x v="140"/>
      <x v="8"/>
      <x/>
      <x v="9"/>
      <x/>
      <x/>
    </i>
    <i>
      <x v="144"/>
      <x v="8"/>
      <x v="43"/>
      <x v="9"/>
      <x v="1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219">
      <pivotArea type="all" dataOnly="0" outline="0" fieldPosition="0"/>
    </format>
    <format dxfId="218">
      <pivotArea outline="0" collapsedLevelsAreSubtotals="1" fieldPosition="0"/>
    </format>
    <format dxfId="217">
      <pivotArea dataOnly="0" labelOnly="1" grandRow="1" outline="0" fieldPosition="0"/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dataOnly="0" labelOnly="1" grandRow="1" outline="0" fieldPosition="0"/>
    </format>
    <format dxfId="212">
      <pivotArea outline="0" collapsedLevelsAreSubtotals="1" fieldPosition="0"/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4">
      <pivotArea dataOnly="0" labelOnly="1" grandRow="1" outline="0" fieldPosition="0"/>
    </format>
    <format dxfId="203">
      <pivotArea grandRow="1" outline="0" collapsedLevelsAreSubtotals="1" fieldPosition="0"/>
    </format>
    <format dxfId="202">
      <pivotArea dataOnly="0" labelOnly="1" grandRow="1" outline="0" fieldPosition="0"/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grandRow="1" outline="0" fieldPosition="0"/>
    </format>
    <format dxfId="1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5">
      <pivotArea field="12" type="button" dataOnly="0" labelOnly="1" outline="0" axis="axisRow" fieldPosition="2"/>
    </format>
    <format dxfId="194">
      <pivotArea field="19" type="button" dataOnly="0" labelOnly="1" outline="0" axis="axisRow" fieldPosition="5"/>
    </format>
    <format dxfId="193">
      <pivotArea field="11" type="button" dataOnly="0" labelOnly="1" outline="0" axis="axisRow" fieldPosition="3"/>
    </format>
    <format dxfId="192">
      <pivotArea field="11" type="button" dataOnly="0" labelOnly="1" outline="0" axis="axisRow" fieldPosition="3"/>
    </format>
    <format dxfId="191">
      <pivotArea field="15" type="button" dataOnly="0" labelOnly="1" outline="0" axis="axisRow" fieldPosition="4"/>
    </format>
    <format dxfId="190">
      <pivotArea field="15" type="button" dataOnly="0" labelOnly="1" outline="0" axis="axisRow" fieldPosition="4"/>
    </format>
    <format dxfId="189">
      <pivotArea field="19" type="button" dataOnly="0" labelOnly="1" outline="0" axis="axisRow" fieldPosition="5"/>
    </format>
    <format dxfId="188">
      <pivotArea field="12" type="button" dataOnly="0" labelOnly="1" outline="0" axis="axisRow" fieldPosition="2"/>
    </format>
    <format dxfId="187">
      <pivotArea field="6" type="button" dataOnly="0" labelOnly="1" outline="0" axis="axisRow" fieldPosition="0"/>
    </format>
    <format dxfId="186">
      <pivotArea field="6" type="button" dataOnly="0" labelOnly="1" outline="0" axis="axisRow" fieldPosition="0"/>
    </format>
    <format dxfId="18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4">
      <pivotArea dataOnly="0" labelOnly="1" grandRow="1" outline="0" offset="IV256" fieldPosition="0"/>
    </format>
    <format dxfId="183">
      <pivotArea grandRow="1" outline="0" collapsedLevelsAreSubtotals="1" fieldPosition="0"/>
    </format>
    <format dxfId="182">
      <pivotArea field="11" type="button" dataOnly="0" labelOnly="1" outline="0" axis="axisRow" fieldPosition="3"/>
    </format>
    <format dxfId="18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7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7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67">
      <pivotArea dataOnly="0" labelOnly="1" grandRow="1" outline="0" fieldPosition="0"/>
    </format>
    <format dxfId="1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8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4">
    <i>
      <x v="20"/>
      <x/>
      <x v="5"/>
      <x v="1"/>
      <x v="1"/>
      <x v="1"/>
    </i>
    <i>
      <x v="21"/>
      <x/>
      <x v="5"/>
      <x v="1"/>
      <x v="1"/>
      <x v="1"/>
    </i>
    <i>
      <x v="47"/>
      <x/>
      <x v="5"/>
      <x v="2"/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grandRow="1" outline="0" fieldPosition="0"/>
    </format>
    <format dxfId="1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dataOnly="0" labelOnly="1" grandRow="1" outline="0" fieldPosition="0"/>
    </format>
    <format dxfId="157">
      <pivotArea outline="0" collapsedLevelsAreSubtotals="1" fieldPosition="0"/>
    </format>
    <format dxfId="156">
      <pivotArea dataOnly="0" labelOnly="1" grandRow="1" outline="0" fieldPosition="0"/>
    </format>
    <format dxfId="1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9">
      <pivotArea dataOnly="0" labelOnly="1" grandRow="1" outline="0" fieldPosition="0"/>
    </format>
    <format dxfId="148">
      <pivotArea grandRow="1" outline="0" collapsedLevelsAreSubtotals="1" fieldPosition="0"/>
    </format>
    <format dxfId="147">
      <pivotArea dataOnly="0" labelOnly="1" grandRow="1" outline="0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dataOnly="0" labelOnly="1" grandRow="1" outline="0" fieldPosition="0"/>
    </format>
    <format dxfId="1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0">
      <pivotArea field="12" type="button" dataOnly="0" labelOnly="1" outline="0" axis="axisRow" fieldPosition="2"/>
    </format>
    <format dxfId="139">
      <pivotArea field="19" type="button" dataOnly="0" labelOnly="1" outline="0" axis="axisRow" fieldPosition="5"/>
    </format>
    <format dxfId="138">
      <pivotArea field="11" type="button" dataOnly="0" labelOnly="1" outline="0" axis="axisRow" fieldPosition="3"/>
    </format>
    <format dxfId="137">
      <pivotArea field="11" type="button" dataOnly="0" labelOnly="1" outline="0" axis="axisRow" fieldPosition="3"/>
    </format>
    <format dxfId="136">
      <pivotArea field="15" type="button" dataOnly="0" labelOnly="1" outline="0" axis="axisRow" fieldPosition="4"/>
    </format>
    <format dxfId="135">
      <pivotArea field="15" type="button" dataOnly="0" labelOnly="1" outline="0" axis="axisRow" fieldPosition="4"/>
    </format>
    <format dxfId="134">
      <pivotArea field="19" type="button" dataOnly="0" labelOnly="1" outline="0" axis="axisRow" fieldPosition="5"/>
    </format>
    <format dxfId="133">
      <pivotArea field="12" type="button" dataOnly="0" labelOnly="1" outline="0" axis="axisRow" fieldPosition="2"/>
    </format>
    <format dxfId="132">
      <pivotArea field="6" type="button" dataOnly="0" labelOnly="1" outline="0" axis="axisRow" fieldPosition="0"/>
    </format>
    <format dxfId="131">
      <pivotArea field="6" type="button" dataOnly="0" labelOnly="1" outline="0" axis="axisRow" fieldPosition="0"/>
    </format>
    <format dxfId="13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29">
      <pivotArea dataOnly="0" labelOnly="1" grandRow="1" outline="0" offset="IV256" fieldPosition="0"/>
    </format>
    <format dxfId="128">
      <pivotArea grandRow="1" outline="0" collapsedLevelsAreSubtotals="1" fieldPosition="0"/>
    </format>
    <format dxfId="127">
      <pivotArea field="11" type="button" dataOnly="0" labelOnly="1" outline="0" axis="axisRow" fieldPosition="3"/>
    </format>
    <format dxfId="12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2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7">
      <pivotArea dataOnly="0" labelOnly="1" grandRow="1" outline="0" fieldPosition="0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2">
      <pivotArea dataOnly="0" labelOnly="1" grandRow="1" outline="0" fieldPosition="0"/>
    </format>
    <format dxfId="1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25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21">
    <i>
      <x v="100"/>
      <x v="9"/>
      <x v="46"/>
      <x v="9"/>
      <x v="24"/>
      <x v="1"/>
    </i>
    <i>
      <x v="103"/>
      <x v="9"/>
      <x v="52"/>
      <x v="9"/>
      <x v="27"/>
      <x v="1"/>
    </i>
    <i>
      <x v="113"/>
      <x v="9"/>
      <x v="49"/>
      <x v="9"/>
      <x v="26"/>
      <x v="1"/>
    </i>
    <i>
      <x v="115"/>
      <x v="9"/>
      <x v="50"/>
      <x v="9"/>
      <x v="23"/>
      <x v="1"/>
    </i>
    <i>
      <x v="117"/>
      <x v="9"/>
      <x v="50"/>
      <x v="9"/>
      <x v="23"/>
      <x v="1"/>
    </i>
    <i>
      <x v="118"/>
      <x v="9"/>
      <x v="50"/>
      <x v="9"/>
      <x v="23"/>
      <x v="1"/>
    </i>
    <i>
      <x v="119"/>
      <x v="9"/>
      <x v="50"/>
      <x v="9"/>
      <x v="23"/>
      <x v="1"/>
    </i>
    <i>
      <x v="120"/>
      <x v="9"/>
      <x v="53"/>
      <x v="9"/>
      <x v="28"/>
      <x v="10"/>
    </i>
    <i>
      <x v="122"/>
      <x v="9"/>
      <x v="44"/>
      <x v="9"/>
      <x v="19"/>
      <x v="1"/>
    </i>
    <i>
      <x v="123"/>
      <x v="9"/>
      <x v="44"/>
      <x v="9"/>
      <x v="19"/>
      <x v="1"/>
    </i>
    <i>
      <x v="124"/>
      <x v="9"/>
      <x v="51"/>
      <x v="9"/>
      <x v="19"/>
      <x v="1"/>
    </i>
    <i>
      <x v="125"/>
      <x v="9"/>
      <x v="51"/>
      <x v="9"/>
      <x v="19"/>
      <x v="1"/>
    </i>
    <i>
      <x v="127"/>
      <x v="9"/>
      <x v="51"/>
      <x v="9"/>
      <x v="19"/>
      <x v="1"/>
    </i>
    <i>
      <x v="131"/>
      <x v="9"/>
      <x v="46"/>
      <x v="9"/>
      <x v="24"/>
      <x v="1"/>
    </i>
    <i>
      <x v="133"/>
      <x v="9"/>
      <x v="50"/>
      <x v="9"/>
      <x v="23"/>
      <x v="1"/>
    </i>
    <i>
      <x v="134"/>
      <x v="9"/>
      <x v="53"/>
      <x v="9"/>
      <x v="28"/>
      <x v="10"/>
    </i>
    <i>
      <x v="140"/>
      <x v="9"/>
      <x/>
      <x v="9"/>
      <x/>
      <x/>
    </i>
    <i>
      <x v="141"/>
      <x v="9"/>
      <x v="50"/>
      <x v="9"/>
      <x v="23"/>
      <x v="1"/>
    </i>
    <i>
      <x v="147"/>
      <x v="9"/>
      <x v="50"/>
      <x v="9"/>
      <x v="23"/>
      <x v="1"/>
    </i>
    <i>
      <x v="148"/>
      <x v="9"/>
      <x v="45"/>
      <x v="9"/>
      <x v="2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09">
      <pivotArea type="all" dataOnly="0" outline="0" fieldPosition="0"/>
    </format>
    <format dxfId="108">
      <pivotArea outline="0" collapsedLevelsAreSubtotals="1" fieldPosition="0"/>
    </format>
    <format dxfId="107">
      <pivotArea dataOnly="0" labelOnly="1" grandRow="1" outline="0" fieldPosition="0"/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dataOnly="0" labelOnly="1" grandRow="1" outline="0" fieldPosition="0"/>
    </format>
    <format dxfId="102">
      <pivotArea outline="0" collapsedLevelsAreSubtotals="1" fieldPosition="0"/>
    </format>
    <format dxfId="101">
      <pivotArea dataOnly="0" labelOnly="1" grandRow="1" outline="0" fieldPosition="0"/>
    </format>
    <format dxfId="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">
      <pivotArea field="12" type="button" dataOnly="0" labelOnly="1" outline="0" axis="axisRow" fieldPosition="2"/>
    </format>
    <format dxfId="84">
      <pivotArea field="19" type="button" dataOnly="0" labelOnly="1" outline="0" axis="axisRow" fieldPosition="5"/>
    </format>
    <format dxfId="83">
      <pivotArea field="11" type="button" dataOnly="0" labelOnly="1" outline="0" axis="axisRow" fieldPosition="3"/>
    </format>
    <format dxfId="82">
      <pivotArea field="11" type="button" dataOnly="0" labelOnly="1" outline="0" axis="axisRow" fieldPosition="3"/>
    </format>
    <format dxfId="81">
      <pivotArea field="15" type="button" dataOnly="0" labelOnly="1" outline="0" axis="axisRow" fieldPosition="4"/>
    </format>
    <format dxfId="80">
      <pivotArea field="15" type="button" dataOnly="0" labelOnly="1" outline="0" axis="axisRow" fieldPosition="4"/>
    </format>
    <format dxfId="79">
      <pivotArea field="19" type="button" dataOnly="0" labelOnly="1" outline="0" axis="axisRow" fieldPosition="5"/>
    </format>
    <format dxfId="78">
      <pivotArea field="12" type="button" dataOnly="0" labelOnly="1" outline="0" axis="axisRow" fieldPosition="2"/>
    </format>
    <format dxfId="77">
      <pivotArea field="6" type="button" dataOnly="0" labelOnly="1" outline="0" axis="axisRow" fieldPosition="0"/>
    </format>
    <format dxfId="76">
      <pivotArea field="6" type="button" dataOnly="0" labelOnly="1" outline="0" axis="axisRow" fieldPosition="0"/>
    </format>
    <format dxfId="7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4">
      <pivotArea dataOnly="0" labelOnly="1" grandRow="1" outline="0" offset="IV256" fieldPosition="0"/>
    </format>
    <format dxfId="73">
      <pivotArea grandRow="1" outline="0" collapsedLevelsAreSubtotals="1" fieldPosition="0"/>
    </format>
    <format dxfId="72">
      <pivotArea field="11" type="button" dataOnly="0" labelOnly="1" outline="0" axis="axisRow" fieldPosition="3"/>
    </format>
    <format dxfId="7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3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9">
    <i>
      <x v="58"/>
      <x/>
      <x v="9"/>
      <x v="1"/>
      <x v="3"/>
      <x v="1"/>
    </i>
    <i>
      <x v="94"/>
      <x/>
      <x v="5"/>
      <x v="1"/>
      <x v="1"/>
      <x v="1"/>
    </i>
    <i>
      <x v="101"/>
      <x/>
      <x v="27"/>
      <x v="7"/>
      <x v="10"/>
      <x v="1"/>
    </i>
    <i>
      <x v="116"/>
      <x/>
      <x v="50"/>
      <x v="9"/>
      <x v="23"/>
      <x v="1"/>
    </i>
    <i>
      <x v="124"/>
      <x/>
      <x v="51"/>
      <x v="9"/>
      <x v="19"/>
      <x v="1"/>
    </i>
    <i>
      <x v="128"/>
      <x/>
      <x v="51"/>
      <x v="9"/>
      <x v="19"/>
      <x v="1"/>
    </i>
    <i>
      <x v="137"/>
      <x/>
      <x v="45"/>
      <x v="9"/>
      <x v="25"/>
      <x v="1"/>
    </i>
    <i>
      <x v="138"/>
      <x/>
      <x v="45"/>
      <x v="9"/>
      <x v="2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54">
      <pivotArea type="all" dataOnly="0" outline="0" fieldPosition="0"/>
    </format>
    <format dxfId="53">
      <pivotArea outline="0" collapsedLevelsAreSubtotals="1" fieldPosition="0"/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grandRow="1" outline="0" fieldPosition="0"/>
    </format>
    <format dxfId="47">
      <pivotArea outline="0" collapsedLevelsAreSubtotals="1" fieldPosition="0"/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field="12" type="button" dataOnly="0" labelOnly="1" outline="0" axis="axisRow" fieldPosition="2"/>
    </format>
    <format dxfId="29">
      <pivotArea field="19" type="button" dataOnly="0" labelOnly="1" outline="0" axis="axisRow" fieldPosition="5"/>
    </format>
    <format dxfId="28">
      <pivotArea field="11" type="button" dataOnly="0" labelOnly="1" outline="0" axis="axisRow" fieldPosition="3"/>
    </format>
    <format dxfId="27">
      <pivotArea field="11" type="button" dataOnly="0" labelOnly="1" outline="0" axis="axisRow" fieldPosition="3"/>
    </format>
    <format dxfId="26">
      <pivotArea field="15" type="button" dataOnly="0" labelOnly="1" outline="0" axis="axisRow" fieldPosition="4"/>
    </format>
    <format dxfId="25">
      <pivotArea field="15" type="button" dataOnly="0" labelOnly="1" outline="0" axis="axisRow" fieldPosition="4"/>
    </format>
    <format dxfId="24">
      <pivotArea field="19" type="button" dataOnly="0" labelOnly="1" outline="0" axis="axisRow" fieldPosition="5"/>
    </format>
    <format dxfId="23">
      <pivotArea field="12" type="button" dataOnly="0" labelOnly="1" outline="0" axis="axisRow" fieldPosition="2"/>
    </format>
    <format dxfId="22">
      <pivotArea field="6" type="button" dataOnly="0" labelOnly="1" outline="0" axis="axisRow" fieldPosition="0"/>
    </format>
    <format dxfId="21">
      <pivotArea field="6" type="button" dataOnly="0" labelOnly="1" outline="0" axis="axisRow" fieldPosition="0"/>
    </format>
    <format dxfId="2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9">
      <pivotArea dataOnly="0" labelOnly="1" grandRow="1" outline="0" offset="IV256" fieldPosition="0"/>
    </format>
    <format dxfId="18">
      <pivotArea grandRow="1" outline="0" collapsedLevelsAreSubtotals="1" fieldPosition="0"/>
    </format>
    <format dxfId="17">
      <pivotArea field="11" type="button" dataOnly="0" labelOnly="1" outline="0" axis="axisRow" fieldPosition="3"/>
    </format>
    <format dxfId="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4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0">
    <i>
      <x v="100"/>
      <x v="2"/>
      <x v="46"/>
      <x v="9"/>
      <x v="24"/>
      <x v="1"/>
    </i>
    <i>
      <x v="121"/>
      <x v="2"/>
      <x v="43"/>
      <x v="9"/>
      <x v="18"/>
      <x v="1"/>
    </i>
    <i>
      <x v="122"/>
      <x v="2"/>
      <x v="44"/>
      <x v="9"/>
      <x v="19"/>
      <x v="1"/>
    </i>
    <i>
      <x v="123"/>
      <x v="2"/>
      <x v="44"/>
      <x v="9"/>
      <x v="19"/>
      <x v="1"/>
    </i>
    <i>
      <x v="136"/>
      <x v="2"/>
      <x v="45"/>
      <x v="9"/>
      <x v="25"/>
      <x v="1"/>
    </i>
    <i>
      <x v="137"/>
      <x v="2"/>
      <x v="45"/>
      <x v="9"/>
      <x v="25"/>
      <x v="1"/>
    </i>
    <i>
      <x v="138"/>
      <x v="2"/>
      <x v="45"/>
      <x v="9"/>
      <x v="25"/>
      <x v="1"/>
    </i>
    <i>
      <x v="139"/>
      <x v="2"/>
      <x v="45"/>
      <x v="9"/>
      <x v="25"/>
      <x v="1"/>
    </i>
    <i>
      <x v="143"/>
      <x v="2"/>
      <x v="43"/>
      <x v="9"/>
      <x v="18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209">
      <pivotArea type="all" dataOnly="0" outline="0" fieldPosition="0"/>
    </format>
    <format dxfId="1208">
      <pivotArea outline="0" collapsedLevelsAreSubtotals="1" fieldPosition="0"/>
    </format>
    <format dxfId="1207">
      <pivotArea dataOnly="0" labelOnly="1" grandRow="1" outline="0" fieldPosition="0"/>
    </format>
    <format dxfId="12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5">
      <pivotArea type="all" dataOnly="0" outline="0" fieldPosition="0"/>
    </format>
    <format dxfId="1204">
      <pivotArea outline="0" collapsedLevelsAreSubtotals="1" fieldPosition="0"/>
    </format>
    <format dxfId="1203">
      <pivotArea dataOnly="0" labelOnly="1" grandRow="1" outline="0" fieldPosition="0"/>
    </format>
    <format dxfId="1202">
      <pivotArea outline="0" collapsedLevelsAreSubtotals="1" fieldPosition="0"/>
    </format>
    <format dxfId="1201">
      <pivotArea dataOnly="0" labelOnly="1" grandRow="1" outline="0" fieldPosition="0"/>
    </format>
    <format dxfId="12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4">
      <pivotArea dataOnly="0" labelOnly="1" grandRow="1" outline="0" fieldPosition="0"/>
    </format>
    <format dxfId="1193">
      <pivotArea grandRow="1" outline="0" collapsedLevelsAreSubtotals="1" fieldPosition="0"/>
    </format>
    <format dxfId="1192">
      <pivotArea dataOnly="0" labelOnly="1" grandRow="1" outline="0" fieldPosition="0"/>
    </format>
    <format dxfId="1191">
      <pivotArea type="all" dataOnly="0" outline="0" fieldPosition="0"/>
    </format>
    <format dxfId="1190">
      <pivotArea outline="0" collapsedLevelsAreSubtotals="1" fieldPosition="0"/>
    </format>
    <format dxfId="1189">
      <pivotArea dataOnly="0" labelOnly="1" grandRow="1" outline="0" fieldPosition="0"/>
    </format>
    <format dxfId="11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5">
      <pivotArea field="12" type="button" dataOnly="0" labelOnly="1" outline="0" axis="axisRow" fieldPosition="2"/>
    </format>
    <format dxfId="1184">
      <pivotArea field="19" type="button" dataOnly="0" labelOnly="1" outline="0" axis="axisRow" fieldPosition="5"/>
    </format>
    <format dxfId="1183">
      <pivotArea field="11" type="button" dataOnly="0" labelOnly="1" outline="0" axis="axisRow" fieldPosition="3"/>
    </format>
    <format dxfId="1182">
      <pivotArea field="11" type="button" dataOnly="0" labelOnly="1" outline="0" axis="axisRow" fieldPosition="3"/>
    </format>
    <format dxfId="1181">
      <pivotArea field="15" type="button" dataOnly="0" labelOnly="1" outline="0" axis="axisRow" fieldPosition="4"/>
    </format>
    <format dxfId="1180">
      <pivotArea field="15" type="button" dataOnly="0" labelOnly="1" outline="0" axis="axisRow" fieldPosition="4"/>
    </format>
    <format dxfId="1179">
      <pivotArea field="19" type="button" dataOnly="0" labelOnly="1" outline="0" axis="axisRow" fieldPosition="5"/>
    </format>
    <format dxfId="1178">
      <pivotArea field="12" type="button" dataOnly="0" labelOnly="1" outline="0" axis="axisRow" fieldPosition="2"/>
    </format>
    <format dxfId="1177">
      <pivotArea field="6" type="button" dataOnly="0" labelOnly="1" outline="0" axis="axisRow" fieldPosition="0"/>
    </format>
    <format dxfId="1176">
      <pivotArea field="6" type="button" dataOnly="0" labelOnly="1" outline="0" axis="axisRow" fieldPosition="0"/>
    </format>
    <format dxfId="117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74">
      <pivotArea dataOnly="0" labelOnly="1" grandRow="1" outline="0" offset="IV256" fieldPosition="0"/>
    </format>
    <format dxfId="1173">
      <pivotArea grandRow="1" outline="0" collapsedLevelsAreSubtotals="1" fieldPosition="0"/>
    </format>
    <format dxfId="1172">
      <pivotArea field="11" type="button" dataOnly="0" labelOnly="1" outline="0" axis="axisRow" fieldPosition="3"/>
    </format>
    <format dxfId="117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7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16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6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6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65">
      <pivotArea type="all" dataOnly="0" outline="0" fieldPosition="0"/>
    </format>
    <format dxfId="1164">
      <pivotArea outline="0" collapsedLevelsAreSubtotals="1" fieldPosition="0"/>
    </format>
    <format dxfId="116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62">
      <pivotArea dataOnly="0" labelOnly="1" grandRow="1" outline="0" fieldPosition="0"/>
    </format>
    <format dxfId="11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0">
      <pivotArea type="all" dataOnly="0" outline="0" fieldPosition="0"/>
    </format>
    <format dxfId="1159">
      <pivotArea outline="0" collapsedLevelsAreSubtotals="1" fieldPosition="0"/>
    </format>
    <format dxfId="115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57">
      <pivotArea dataOnly="0" labelOnly="1" grandRow="1" outline="0" fieldPosition="0"/>
    </format>
    <format dxfId="11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5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2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22">
    <i>
      <x v="15"/>
      <x/>
      <x v="5"/>
      <x v="1"/>
      <x v="1"/>
      <x v="1"/>
    </i>
    <i>
      <x v="16"/>
      <x/>
      <x v="5"/>
      <x v="1"/>
      <x v="1"/>
      <x v="1"/>
    </i>
    <i>
      <x v="31"/>
      <x/>
      <x v="6"/>
      <x v="1"/>
      <x v="1"/>
      <x v="1"/>
    </i>
    <i>
      <x v="53"/>
      <x/>
      <x v="6"/>
      <x v="2"/>
      <x v="1"/>
      <x v="1"/>
    </i>
    <i>
      <x v="54"/>
      <x/>
      <x v="6"/>
      <x v="1"/>
      <x v="1"/>
      <x v="1"/>
    </i>
    <i>
      <x v="72"/>
      <x/>
      <x v="5"/>
      <x v="1"/>
      <x v="1"/>
      <x v="1"/>
    </i>
    <i>
      <x v="74"/>
      <x/>
      <x v="5"/>
      <x v="1"/>
      <x v="1"/>
      <x v="1"/>
    </i>
    <i>
      <x v="100"/>
      <x/>
      <x v="31"/>
      <x v="7"/>
      <x v="12"/>
      <x v="1"/>
    </i>
    <i r="1">
      <x v="3"/>
      <x v="46"/>
      <x v="9"/>
      <x v="24"/>
      <x v="1"/>
    </i>
    <i>
      <x v="101"/>
      <x/>
      <x v="27"/>
      <x v="7"/>
      <x v="10"/>
      <x v="1"/>
    </i>
    <i>
      <x v="102"/>
      <x/>
      <x v="27"/>
      <x v="7"/>
      <x v="10"/>
      <x v="1"/>
    </i>
    <i>
      <x v="104"/>
      <x/>
      <x v="30"/>
      <x v="7"/>
      <x v="16"/>
      <x v="1"/>
    </i>
    <i>
      <x v="119"/>
      <x/>
      <x v="26"/>
      <x v="7"/>
      <x v="13"/>
      <x v="1"/>
    </i>
    <i>
      <x v="122"/>
      <x v="3"/>
      <x v="44"/>
      <x v="9"/>
      <x v="19"/>
      <x v="1"/>
    </i>
    <i>
      <x v="123"/>
      <x v="3"/>
      <x v="44"/>
      <x v="9"/>
      <x v="19"/>
      <x v="1"/>
    </i>
    <i>
      <x v="124"/>
      <x/>
      <x v="28"/>
      <x v="7"/>
      <x v="12"/>
      <x v="1"/>
    </i>
    <i>
      <x v="134"/>
      <x/>
      <x v="29"/>
      <x v="7"/>
      <x v="15"/>
      <x v="9"/>
    </i>
    <i>
      <x v="136"/>
      <x v="3"/>
      <x v="45"/>
      <x v="9"/>
      <x v="25"/>
      <x v="1"/>
    </i>
    <i>
      <x v="137"/>
      <x v="3"/>
      <x v="45"/>
      <x v="9"/>
      <x v="25"/>
      <x v="1"/>
    </i>
    <i>
      <x v="138"/>
      <x v="3"/>
      <x v="45"/>
      <x v="9"/>
      <x v="25"/>
      <x v="1"/>
    </i>
    <i>
      <x v="139"/>
      <x v="3"/>
      <x v="45"/>
      <x v="9"/>
      <x v="2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154">
      <pivotArea type="all" dataOnly="0" outline="0" fieldPosition="0"/>
    </format>
    <format dxfId="1153">
      <pivotArea outline="0" collapsedLevelsAreSubtotals="1" fieldPosition="0"/>
    </format>
    <format dxfId="1152">
      <pivotArea dataOnly="0" labelOnly="1" grandRow="1" outline="0" fieldPosition="0"/>
    </format>
    <format dxfId="1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0">
      <pivotArea type="all" dataOnly="0" outline="0" fieldPosition="0"/>
    </format>
    <format dxfId="1149">
      <pivotArea outline="0" collapsedLevelsAreSubtotals="1" fieldPosition="0"/>
    </format>
    <format dxfId="1148">
      <pivotArea dataOnly="0" labelOnly="1" grandRow="1" outline="0" fieldPosition="0"/>
    </format>
    <format dxfId="1147">
      <pivotArea outline="0" collapsedLevelsAreSubtotals="1" fieldPosition="0"/>
    </format>
    <format dxfId="1146">
      <pivotArea dataOnly="0" labelOnly="1" grandRow="1" outline="0" fieldPosition="0"/>
    </format>
    <format dxfId="11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39">
      <pivotArea dataOnly="0" labelOnly="1" grandRow="1" outline="0" fieldPosition="0"/>
    </format>
    <format dxfId="1138">
      <pivotArea grandRow="1" outline="0" collapsedLevelsAreSubtotals="1" fieldPosition="0"/>
    </format>
    <format dxfId="1137">
      <pivotArea dataOnly="0" labelOnly="1" grandRow="1" outline="0" fieldPosition="0"/>
    </format>
    <format dxfId="1136">
      <pivotArea type="all" dataOnly="0" outline="0" fieldPosition="0"/>
    </format>
    <format dxfId="1135">
      <pivotArea outline="0" collapsedLevelsAreSubtotals="1" fieldPosition="0"/>
    </format>
    <format dxfId="1134">
      <pivotArea dataOnly="0" labelOnly="1" grandRow="1" outline="0" fieldPosition="0"/>
    </format>
    <format dxfId="1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30">
      <pivotArea field="12" type="button" dataOnly="0" labelOnly="1" outline="0" axis="axisRow" fieldPosition="2"/>
    </format>
    <format dxfId="1129">
      <pivotArea field="19" type="button" dataOnly="0" labelOnly="1" outline="0" axis="axisRow" fieldPosition="5"/>
    </format>
    <format dxfId="1128">
      <pivotArea field="11" type="button" dataOnly="0" labelOnly="1" outline="0" axis="axisRow" fieldPosition="3"/>
    </format>
    <format dxfId="1127">
      <pivotArea field="11" type="button" dataOnly="0" labelOnly="1" outline="0" axis="axisRow" fieldPosition="3"/>
    </format>
    <format dxfId="1126">
      <pivotArea field="15" type="button" dataOnly="0" labelOnly="1" outline="0" axis="axisRow" fieldPosition="4"/>
    </format>
    <format dxfId="1125">
      <pivotArea field="15" type="button" dataOnly="0" labelOnly="1" outline="0" axis="axisRow" fieldPosition="4"/>
    </format>
    <format dxfId="1124">
      <pivotArea field="19" type="button" dataOnly="0" labelOnly="1" outline="0" axis="axisRow" fieldPosition="5"/>
    </format>
    <format dxfId="1123">
      <pivotArea field="12" type="button" dataOnly="0" labelOnly="1" outline="0" axis="axisRow" fieldPosition="2"/>
    </format>
    <format dxfId="1122">
      <pivotArea field="6" type="button" dataOnly="0" labelOnly="1" outline="0" axis="axisRow" fieldPosition="0"/>
    </format>
    <format dxfId="1121">
      <pivotArea field="6" type="button" dataOnly="0" labelOnly="1" outline="0" axis="axisRow" fieldPosition="0"/>
    </format>
    <format dxfId="112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119">
      <pivotArea dataOnly="0" labelOnly="1" grandRow="1" outline="0" offset="IV256" fieldPosition="0"/>
    </format>
    <format dxfId="1118">
      <pivotArea grandRow="1" outline="0" collapsedLevelsAreSubtotals="1" fieldPosition="0"/>
    </format>
    <format dxfId="1117">
      <pivotArea field="11" type="button" dataOnly="0" labelOnly="1" outline="0" axis="axisRow" fieldPosition="3"/>
    </format>
    <format dxfId="11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1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11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1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1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110">
      <pivotArea type="all" dataOnly="0" outline="0" fieldPosition="0"/>
    </format>
    <format dxfId="1109">
      <pivotArea outline="0" collapsedLevelsAreSubtotals="1" fieldPosition="0"/>
    </format>
    <format dxfId="110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07">
      <pivotArea dataOnly="0" labelOnly="1" grandRow="1" outline="0" fieldPosition="0"/>
    </format>
    <format dxfId="11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05">
      <pivotArea type="all" dataOnly="0" outline="0" fieldPosition="0"/>
    </format>
    <format dxfId="1104">
      <pivotArea outline="0" collapsedLevelsAreSubtotals="1" fieldPosition="0"/>
    </format>
    <format dxfId="110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02">
      <pivotArea dataOnly="0" labelOnly="1" grandRow="1" outline="0" fieldPosition="0"/>
    </format>
    <format dxfId="11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0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8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4">
    <i>
      <x v="130"/>
      <x/>
      <x v="26"/>
      <x v="7"/>
      <x v="13"/>
      <x v="1"/>
    </i>
    <i>
      <x v="141"/>
      <x/>
      <x v="26"/>
      <x v="7"/>
      <x v="13"/>
      <x v="1"/>
    </i>
    <i>
      <x v="142"/>
      <x/>
      <x v="26"/>
      <x v="7"/>
      <x v="13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099">
      <pivotArea type="all" dataOnly="0" outline="0" fieldPosition="0"/>
    </format>
    <format dxfId="1098">
      <pivotArea outline="0" collapsedLevelsAreSubtotals="1" fieldPosition="0"/>
    </format>
    <format dxfId="1097">
      <pivotArea dataOnly="0" labelOnly="1" grandRow="1" outline="0" fieldPosition="0"/>
    </format>
    <format dxfId="10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5">
      <pivotArea type="all" dataOnly="0" outline="0" fieldPosition="0"/>
    </format>
    <format dxfId="1094">
      <pivotArea outline="0" collapsedLevelsAreSubtotals="1" fieldPosition="0"/>
    </format>
    <format dxfId="1093">
      <pivotArea dataOnly="0" labelOnly="1" grandRow="1" outline="0" fieldPosition="0"/>
    </format>
    <format dxfId="1092">
      <pivotArea outline="0" collapsedLevelsAreSubtotals="1" fieldPosition="0"/>
    </format>
    <format dxfId="1091">
      <pivotArea dataOnly="0" labelOnly="1" grandRow="1" outline="0" fieldPosition="0"/>
    </format>
    <format dxfId="10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4">
      <pivotArea dataOnly="0" labelOnly="1" grandRow="1" outline="0" fieldPosition="0"/>
    </format>
    <format dxfId="1083">
      <pivotArea grandRow="1" outline="0" collapsedLevelsAreSubtotals="1" fieldPosition="0"/>
    </format>
    <format dxfId="1082">
      <pivotArea dataOnly="0" labelOnly="1" grandRow="1" outline="0" fieldPosition="0"/>
    </format>
    <format dxfId="1081">
      <pivotArea type="all" dataOnly="0" outline="0" fieldPosition="0"/>
    </format>
    <format dxfId="1080">
      <pivotArea outline="0" collapsedLevelsAreSubtotals="1" fieldPosition="0"/>
    </format>
    <format dxfId="1079">
      <pivotArea dataOnly="0" labelOnly="1" grandRow="1" outline="0" fieldPosition="0"/>
    </format>
    <format dxfId="10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5">
      <pivotArea field="12" type="button" dataOnly="0" labelOnly="1" outline="0" axis="axisRow" fieldPosition="2"/>
    </format>
    <format dxfId="1074">
      <pivotArea field="19" type="button" dataOnly="0" labelOnly="1" outline="0" axis="axisRow" fieldPosition="5"/>
    </format>
    <format dxfId="1073">
      <pivotArea field="11" type="button" dataOnly="0" labelOnly="1" outline="0" axis="axisRow" fieldPosition="3"/>
    </format>
    <format dxfId="1072">
      <pivotArea field="11" type="button" dataOnly="0" labelOnly="1" outline="0" axis="axisRow" fieldPosition="3"/>
    </format>
    <format dxfId="1071">
      <pivotArea field="15" type="button" dataOnly="0" labelOnly="1" outline="0" axis="axisRow" fieldPosition="4"/>
    </format>
    <format dxfId="1070">
      <pivotArea field="15" type="button" dataOnly="0" labelOnly="1" outline="0" axis="axisRow" fieldPosition="4"/>
    </format>
    <format dxfId="1069">
      <pivotArea field="19" type="button" dataOnly="0" labelOnly="1" outline="0" axis="axisRow" fieldPosition="5"/>
    </format>
    <format dxfId="1068">
      <pivotArea field="12" type="button" dataOnly="0" labelOnly="1" outline="0" axis="axisRow" fieldPosition="2"/>
    </format>
    <format dxfId="1067">
      <pivotArea field="6" type="button" dataOnly="0" labelOnly="1" outline="0" axis="axisRow" fieldPosition="0"/>
    </format>
    <format dxfId="1066">
      <pivotArea field="6" type="button" dataOnly="0" labelOnly="1" outline="0" axis="axisRow" fieldPosition="0"/>
    </format>
    <format dxfId="106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064">
      <pivotArea dataOnly="0" labelOnly="1" grandRow="1" outline="0" offset="IV256" fieldPosition="0"/>
    </format>
    <format dxfId="1063">
      <pivotArea grandRow="1" outline="0" collapsedLevelsAreSubtotals="1" fieldPosition="0"/>
    </format>
    <format dxfId="1062">
      <pivotArea field="11" type="button" dataOnly="0" labelOnly="1" outline="0" axis="axisRow" fieldPosition="3"/>
    </format>
    <format dxfId="106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6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05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5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5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55">
      <pivotArea type="all" dataOnly="0" outline="0" fieldPosition="0"/>
    </format>
    <format dxfId="1054">
      <pivotArea outline="0" collapsedLevelsAreSubtotals="1" fieldPosition="0"/>
    </format>
    <format dxfId="105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052">
      <pivotArea dataOnly="0" labelOnly="1" grandRow="1" outline="0" fieldPosition="0"/>
    </format>
    <format dxfId="10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50">
      <pivotArea type="all" dataOnly="0" outline="0" fieldPosition="0"/>
    </format>
    <format dxfId="1049">
      <pivotArea outline="0" collapsedLevelsAreSubtotals="1" fieldPosition="0"/>
    </format>
    <format dxfId="104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047">
      <pivotArea dataOnly="0" labelOnly="1" grandRow="1" outline="0" fieldPosition="0"/>
    </format>
    <format dxfId="10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4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12">
    <i>
      <x v="44"/>
      <x/>
      <x/>
      <x/>
      <x/>
      <x v="2"/>
    </i>
    <i>
      <x v="74"/>
      <x/>
      <x v="5"/>
      <x v="1"/>
      <x v="1"/>
      <x v="1"/>
    </i>
    <i>
      <x v="92"/>
      <x/>
      <x v="5"/>
      <x v="1"/>
      <x v="1"/>
      <x v="1"/>
    </i>
    <i>
      <x v="101"/>
      <x/>
      <x v="27"/>
      <x v="7"/>
      <x v="10"/>
      <x v="7"/>
    </i>
    <i>
      <x v="121"/>
      <x/>
      <x v="32"/>
      <x v="7"/>
      <x v="17"/>
      <x v="1"/>
    </i>
    <i>
      <x v="122"/>
      <x/>
      <x v="44"/>
      <x v="9"/>
      <x v="19"/>
      <x v="1"/>
    </i>
    <i>
      <x v="123"/>
      <x/>
      <x v="44"/>
      <x v="9"/>
      <x v="19"/>
      <x v="1"/>
    </i>
    <i>
      <x v="130"/>
      <x/>
      <x v="26"/>
      <x v="7"/>
      <x v="13"/>
      <x v="7"/>
    </i>
    <i>
      <x v="140"/>
      <x/>
      <x v="32"/>
      <x v="7"/>
      <x v="17"/>
      <x v="1"/>
    </i>
    <i>
      <x v="141"/>
      <x/>
      <x v="26"/>
      <x v="7"/>
      <x v="13"/>
      <x v="1"/>
    </i>
    <i>
      <x v="143"/>
      <x/>
      <x v="32"/>
      <x v="7"/>
      <x v="1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1044">
      <pivotArea type="all" dataOnly="0" outline="0" fieldPosition="0"/>
    </format>
    <format dxfId="1043">
      <pivotArea outline="0" collapsedLevelsAreSubtotals="1" fieldPosition="0"/>
    </format>
    <format dxfId="1042">
      <pivotArea dataOnly="0" labelOnly="1" grandRow="1" outline="0" fieldPosition="0"/>
    </format>
    <format dxfId="10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0">
      <pivotArea type="all" dataOnly="0" outline="0" fieldPosition="0"/>
    </format>
    <format dxfId="1039">
      <pivotArea outline="0" collapsedLevelsAreSubtotals="1" fieldPosition="0"/>
    </format>
    <format dxfId="1038">
      <pivotArea dataOnly="0" labelOnly="1" grandRow="1" outline="0" fieldPosition="0"/>
    </format>
    <format dxfId="1037">
      <pivotArea outline="0" collapsedLevelsAreSubtotals="1" fieldPosition="0"/>
    </format>
    <format dxfId="1036">
      <pivotArea dataOnly="0" labelOnly="1" grandRow="1" outline="0" fieldPosition="0"/>
    </format>
    <format dxfId="10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9">
      <pivotArea dataOnly="0" labelOnly="1" grandRow="1" outline="0" fieldPosition="0"/>
    </format>
    <format dxfId="1028">
      <pivotArea grandRow="1" outline="0" collapsedLevelsAreSubtotals="1" fieldPosition="0"/>
    </format>
    <format dxfId="1027">
      <pivotArea dataOnly="0" labelOnly="1" grandRow="1" outline="0" fieldPosition="0"/>
    </format>
    <format dxfId="1026">
      <pivotArea type="all" dataOnly="0" outline="0" fieldPosition="0"/>
    </format>
    <format dxfId="1025">
      <pivotArea outline="0" collapsedLevelsAreSubtotals="1" fieldPosition="0"/>
    </format>
    <format dxfId="1024">
      <pivotArea dataOnly="0" labelOnly="1" grandRow="1" outline="0" fieldPosition="0"/>
    </format>
    <format dxfId="10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0">
      <pivotArea field="12" type="button" dataOnly="0" labelOnly="1" outline="0" axis="axisRow" fieldPosition="2"/>
    </format>
    <format dxfId="1019">
      <pivotArea field="19" type="button" dataOnly="0" labelOnly="1" outline="0" axis="axisRow" fieldPosition="5"/>
    </format>
    <format dxfId="1018">
      <pivotArea field="11" type="button" dataOnly="0" labelOnly="1" outline="0" axis="axisRow" fieldPosition="3"/>
    </format>
    <format dxfId="1017">
      <pivotArea field="11" type="button" dataOnly="0" labelOnly="1" outline="0" axis="axisRow" fieldPosition="3"/>
    </format>
    <format dxfId="1016">
      <pivotArea field="15" type="button" dataOnly="0" labelOnly="1" outline="0" axis="axisRow" fieldPosition="4"/>
    </format>
    <format dxfId="1015">
      <pivotArea field="15" type="button" dataOnly="0" labelOnly="1" outline="0" axis="axisRow" fieldPosition="4"/>
    </format>
    <format dxfId="1014">
      <pivotArea field="19" type="button" dataOnly="0" labelOnly="1" outline="0" axis="axisRow" fieldPosition="5"/>
    </format>
    <format dxfId="1013">
      <pivotArea field="12" type="button" dataOnly="0" labelOnly="1" outline="0" axis="axisRow" fieldPosition="2"/>
    </format>
    <format dxfId="1012">
      <pivotArea field="6" type="button" dataOnly="0" labelOnly="1" outline="0" axis="axisRow" fieldPosition="0"/>
    </format>
    <format dxfId="1011">
      <pivotArea field="6" type="button" dataOnly="0" labelOnly="1" outline="0" axis="axisRow" fieldPosition="0"/>
    </format>
    <format dxfId="101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009">
      <pivotArea dataOnly="0" labelOnly="1" grandRow="1" outline="0" offset="IV256" fieldPosition="0"/>
    </format>
    <format dxfId="1008">
      <pivotArea grandRow="1" outline="0" collapsedLevelsAreSubtotals="1" fieldPosition="0"/>
    </format>
    <format dxfId="1007">
      <pivotArea field="11" type="button" dataOnly="0" labelOnly="1" outline="0" axis="axisRow" fieldPosition="3"/>
    </format>
    <format dxfId="100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0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00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0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0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0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1000">
      <pivotArea type="all" dataOnly="0" outline="0" fieldPosition="0"/>
    </format>
    <format dxfId="999">
      <pivotArea outline="0" collapsedLevelsAreSubtotals="1" fieldPosition="0"/>
    </format>
    <format dxfId="99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97">
      <pivotArea dataOnly="0" labelOnly="1" grandRow="1" outline="0" fieldPosition="0"/>
    </format>
    <format dxfId="9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95">
      <pivotArea type="all" dataOnly="0" outline="0" fieldPosition="0"/>
    </format>
    <format dxfId="994">
      <pivotArea outline="0" collapsedLevelsAreSubtotals="1" fieldPosition="0"/>
    </format>
    <format dxfId="99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92">
      <pivotArea dataOnly="0" labelOnly="1" grandRow="1" outline="0" fieldPosition="0"/>
    </format>
    <format dxfId="9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9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13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x="13"/>
        <item h="1" x="8"/>
        <item h="1" x="16"/>
        <item h="1" x="9"/>
        <item h="1" x="18"/>
        <item h="1"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9">
    <i>
      <x v="23"/>
      <x/>
      <x v="14"/>
      <x v="4"/>
      <x v="3"/>
      <x v="1"/>
    </i>
    <i>
      <x v="24"/>
      <x/>
      <x v="13"/>
      <x v="4"/>
      <x v="8"/>
      <x v="1"/>
    </i>
    <i>
      <x v="46"/>
      <x/>
      <x v="13"/>
      <x v="4"/>
      <x v="8"/>
      <x v="1"/>
    </i>
    <i>
      <x v="47"/>
      <x/>
      <x v="13"/>
      <x v="4"/>
      <x v="8"/>
      <x v="1"/>
    </i>
    <i>
      <x v="76"/>
      <x/>
      <x v="13"/>
      <x v="4"/>
      <x v="8"/>
      <x v="1"/>
    </i>
    <i>
      <x v="77"/>
      <x/>
      <x v="13"/>
      <x v="4"/>
      <x v="8"/>
      <x v="1"/>
    </i>
    <i>
      <x v="78"/>
      <x/>
      <x v="13"/>
      <x v="4"/>
      <x v="8"/>
      <x v="1"/>
    </i>
    <i>
      <x v="88"/>
      <x/>
      <x v="13"/>
      <x v="4"/>
      <x v="8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989">
      <pivotArea type="all" dataOnly="0" outline="0" fieldPosition="0"/>
    </format>
    <format dxfId="988">
      <pivotArea outline="0" collapsedLevelsAreSubtotals="1" fieldPosition="0"/>
    </format>
    <format dxfId="987">
      <pivotArea dataOnly="0" labelOnly="1" grandRow="1" outline="0" fieldPosition="0"/>
    </format>
    <format dxfId="9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85">
      <pivotArea type="all" dataOnly="0" outline="0" fieldPosition="0"/>
    </format>
    <format dxfId="984">
      <pivotArea outline="0" collapsedLevelsAreSubtotals="1" fieldPosition="0"/>
    </format>
    <format dxfId="983">
      <pivotArea dataOnly="0" labelOnly="1" grandRow="1" outline="0" fieldPosition="0"/>
    </format>
    <format dxfId="982">
      <pivotArea outline="0" collapsedLevelsAreSubtotals="1" fieldPosition="0"/>
    </format>
    <format dxfId="981">
      <pivotArea dataOnly="0" labelOnly="1" grandRow="1" outline="0" fieldPosition="0"/>
    </format>
    <format dxfId="9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4">
      <pivotArea dataOnly="0" labelOnly="1" grandRow="1" outline="0" fieldPosition="0"/>
    </format>
    <format dxfId="973">
      <pivotArea grandRow="1" outline="0" collapsedLevelsAreSubtotals="1" fieldPosition="0"/>
    </format>
    <format dxfId="972">
      <pivotArea dataOnly="0" labelOnly="1" grandRow="1" outline="0" fieldPosition="0"/>
    </format>
    <format dxfId="971">
      <pivotArea type="all" dataOnly="0" outline="0" fieldPosition="0"/>
    </format>
    <format dxfId="970">
      <pivotArea outline="0" collapsedLevelsAreSubtotals="1" fieldPosition="0"/>
    </format>
    <format dxfId="969">
      <pivotArea dataOnly="0" labelOnly="1" grandRow="1" outline="0" fieldPosition="0"/>
    </format>
    <format dxfId="9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5">
      <pivotArea field="12" type="button" dataOnly="0" labelOnly="1" outline="0" axis="axisRow" fieldPosition="2"/>
    </format>
    <format dxfId="964">
      <pivotArea field="19" type="button" dataOnly="0" labelOnly="1" outline="0" axis="axisRow" fieldPosition="5"/>
    </format>
    <format dxfId="963">
      <pivotArea field="11" type="button" dataOnly="0" labelOnly="1" outline="0" axis="axisRow" fieldPosition="3"/>
    </format>
    <format dxfId="962">
      <pivotArea field="11" type="button" dataOnly="0" labelOnly="1" outline="0" axis="axisRow" fieldPosition="3"/>
    </format>
    <format dxfId="961">
      <pivotArea field="15" type="button" dataOnly="0" labelOnly="1" outline="0" axis="axisRow" fieldPosition="4"/>
    </format>
    <format dxfId="960">
      <pivotArea field="15" type="button" dataOnly="0" labelOnly="1" outline="0" axis="axisRow" fieldPosition="4"/>
    </format>
    <format dxfId="959">
      <pivotArea field="19" type="button" dataOnly="0" labelOnly="1" outline="0" axis="axisRow" fieldPosition="5"/>
    </format>
    <format dxfId="958">
      <pivotArea field="12" type="button" dataOnly="0" labelOnly="1" outline="0" axis="axisRow" fieldPosition="2"/>
    </format>
    <format dxfId="957">
      <pivotArea field="6" type="button" dataOnly="0" labelOnly="1" outline="0" axis="axisRow" fieldPosition="0"/>
    </format>
    <format dxfId="956">
      <pivotArea field="6" type="button" dataOnly="0" labelOnly="1" outline="0" axis="axisRow" fieldPosition="0"/>
    </format>
    <format dxfId="95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54">
      <pivotArea dataOnly="0" labelOnly="1" grandRow="1" outline="0" offset="IV256" fieldPosition="0"/>
    </format>
    <format dxfId="953">
      <pivotArea grandRow="1" outline="0" collapsedLevelsAreSubtotals="1" fieldPosition="0"/>
    </format>
    <format dxfId="952">
      <pivotArea field="11" type="button" dataOnly="0" labelOnly="1" outline="0" axis="axisRow" fieldPosition="3"/>
    </format>
    <format dxfId="95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5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4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4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4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4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945">
      <pivotArea type="all" dataOnly="0" outline="0" fieldPosition="0"/>
    </format>
    <format dxfId="944">
      <pivotArea outline="0" collapsedLevelsAreSubtotals="1" fieldPosition="0"/>
    </format>
    <format dxfId="94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42">
      <pivotArea dataOnly="0" labelOnly="1" grandRow="1" outline="0" fieldPosition="0"/>
    </format>
    <format dxfId="9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0">
      <pivotArea type="all" dataOnly="0" outline="0" fieldPosition="0"/>
    </format>
    <format dxfId="939">
      <pivotArea outline="0" collapsedLevelsAreSubtotals="1" fieldPosition="0"/>
    </format>
    <format dxfId="93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37">
      <pivotArea dataOnly="0" labelOnly="1" grandRow="1" outline="0" fieldPosition="0"/>
    </format>
    <format dxfId="9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x="1"/>
        <item h="1" x="3"/>
        <item h="1" x="4"/>
        <item h="1"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2">
    <i>
      <x v="33"/>
      <x/>
      <x v="5"/>
      <x v="1"/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934">
      <pivotArea type="all" dataOnly="0" outline="0" fieldPosition="0"/>
    </format>
    <format dxfId="933">
      <pivotArea outline="0" collapsedLevelsAreSubtotals="1" fieldPosition="0"/>
    </format>
    <format dxfId="932">
      <pivotArea dataOnly="0" labelOnly="1" grandRow="1" outline="0" fieldPosition="0"/>
    </format>
    <format dxfId="9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0">
      <pivotArea type="all" dataOnly="0" outline="0" fieldPosition="0"/>
    </format>
    <format dxfId="929">
      <pivotArea outline="0" collapsedLevelsAreSubtotals="1" fieldPosition="0"/>
    </format>
    <format dxfId="928">
      <pivotArea dataOnly="0" labelOnly="1" grandRow="1" outline="0" fieldPosition="0"/>
    </format>
    <format dxfId="927">
      <pivotArea outline="0" collapsedLevelsAreSubtotals="1" fieldPosition="0"/>
    </format>
    <format dxfId="926">
      <pivotArea dataOnly="0" labelOnly="1" grandRow="1" outline="0" fieldPosition="0"/>
    </format>
    <format dxfId="9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9">
      <pivotArea dataOnly="0" labelOnly="1" grandRow="1" outline="0" fieldPosition="0"/>
    </format>
    <format dxfId="918">
      <pivotArea grandRow="1" outline="0" collapsedLevelsAreSubtotals="1" fieldPosition="0"/>
    </format>
    <format dxfId="917">
      <pivotArea dataOnly="0" labelOnly="1" grandRow="1" outline="0" fieldPosition="0"/>
    </format>
    <format dxfId="916">
      <pivotArea type="all" dataOnly="0" outline="0" fieldPosition="0"/>
    </format>
    <format dxfId="915">
      <pivotArea outline="0" collapsedLevelsAreSubtotals="1" fieldPosition="0"/>
    </format>
    <format dxfId="914">
      <pivotArea dataOnly="0" labelOnly="1" grandRow="1" outline="0" fieldPosition="0"/>
    </format>
    <format dxfId="9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0">
      <pivotArea field="12" type="button" dataOnly="0" labelOnly="1" outline="0" axis="axisRow" fieldPosition="2"/>
    </format>
    <format dxfId="909">
      <pivotArea field="19" type="button" dataOnly="0" labelOnly="1" outline="0" axis="axisRow" fieldPosition="5"/>
    </format>
    <format dxfId="908">
      <pivotArea field="11" type="button" dataOnly="0" labelOnly="1" outline="0" axis="axisRow" fieldPosition="3"/>
    </format>
    <format dxfId="907">
      <pivotArea field="11" type="button" dataOnly="0" labelOnly="1" outline="0" axis="axisRow" fieldPosition="3"/>
    </format>
    <format dxfId="906">
      <pivotArea field="15" type="button" dataOnly="0" labelOnly="1" outline="0" axis="axisRow" fieldPosition="4"/>
    </format>
    <format dxfId="905">
      <pivotArea field="15" type="button" dataOnly="0" labelOnly="1" outline="0" axis="axisRow" fieldPosition="4"/>
    </format>
    <format dxfId="904">
      <pivotArea field="19" type="button" dataOnly="0" labelOnly="1" outline="0" axis="axisRow" fieldPosition="5"/>
    </format>
    <format dxfId="903">
      <pivotArea field="12" type="button" dataOnly="0" labelOnly="1" outline="0" axis="axisRow" fieldPosition="2"/>
    </format>
    <format dxfId="902">
      <pivotArea field="6" type="button" dataOnly="0" labelOnly="1" outline="0" axis="axisRow" fieldPosition="0"/>
    </format>
    <format dxfId="901">
      <pivotArea field="6" type="button" dataOnly="0" labelOnly="1" outline="0" axis="axisRow" fieldPosition="0"/>
    </format>
    <format dxfId="90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99">
      <pivotArea dataOnly="0" labelOnly="1" grandRow="1" outline="0" offset="IV256" fieldPosition="0"/>
    </format>
    <format dxfId="898">
      <pivotArea grandRow="1" outline="0" collapsedLevelsAreSubtotals="1" fieldPosition="0"/>
    </format>
    <format dxfId="897">
      <pivotArea field="11" type="button" dataOnly="0" labelOnly="1" outline="0" axis="axisRow" fieldPosition="3"/>
    </format>
    <format dxfId="89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9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94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93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9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1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90">
      <pivotArea type="all" dataOnly="0" outline="0" fieldPosition="0"/>
    </format>
    <format dxfId="889">
      <pivotArea outline="0" collapsedLevelsAreSubtotals="1" fieldPosition="0"/>
    </format>
    <format dxfId="88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887">
      <pivotArea dataOnly="0" labelOnly="1" grandRow="1" outline="0" fieldPosition="0"/>
    </format>
    <format dxfId="8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85">
      <pivotArea type="all" dataOnly="0" outline="0" fieldPosition="0"/>
    </format>
    <format dxfId="884">
      <pivotArea outline="0" collapsedLevelsAreSubtotals="1" fieldPosition="0"/>
    </format>
    <format dxfId="88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882">
      <pivotArea dataOnly="0" labelOnly="1" grandRow="1" outline="0" fieldPosition="0"/>
    </format>
    <format dxfId="8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80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26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multipleItemSelectionAllowed="1" showAll="0" defaultSubtotal="0">
      <items count="24">
        <item h="1" x="0"/>
        <item h="1" x="19"/>
        <item h="1" x="20"/>
        <item h="1" x="14"/>
        <item h="1" x="15"/>
        <item h="1" x="21"/>
        <item h="1" x="10"/>
        <item h="1" x="23"/>
        <item h="1" x="22"/>
        <item h="1" x="2"/>
        <item h="1" x="13"/>
        <item h="1" x="8"/>
        <item h="1" x="16"/>
        <item h="1" x="9"/>
        <item h="1" x="18"/>
        <item h="1" x="1"/>
        <item h="1" x="3"/>
        <item h="1" x="4"/>
        <item x="5"/>
        <item h="1" x="6"/>
        <item h="1" x="7"/>
        <item h="1" x="11"/>
        <item h="1" x="12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56"/>
        <item x="2"/>
        <item x="0"/>
        <item x="78"/>
        <item x="83"/>
        <item x="95"/>
        <item x="50"/>
        <item x="5"/>
        <item x="37"/>
        <item x="96"/>
        <item x="73"/>
        <item x="36"/>
        <item x="3"/>
        <item x="59"/>
        <item x="60"/>
        <item x="42"/>
        <item x="45"/>
        <item x="64"/>
        <item x="65"/>
        <item x="80"/>
        <item x="68"/>
        <item x="13"/>
        <item x="14"/>
        <item x="32"/>
        <item x="33"/>
        <item x="51"/>
        <item x="89"/>
        <item x="75"/>
        <item x="90"/>
        <item x="76"/>
        <item x="77"/>
        <item x="43"/>
        <item x="7"/>
        <item x="18"/>
        <item x="66"/>
        <item x="70"/>
        <item x="52"/>
        <item x="53"/>
        <item x="20"/>
        <item x="55"/>
        <item x="22"/>
        <item x="98"/>
        <item x="86"/>
        <item x="29"/>
        <item x="47"/>
        <item x="67"/>
        <item x="16"/>
        <item x="69"/>
        <item x="39"/>
        <item x="19"/>
        <item x="54"/>
        <item x="84"/>
        <item x="85"/>
        <item x="1"/>
        <item x="41"/>
        <item x="4"/>
        <item x="57"/>
        <item x="91"/>
        <item x="58"/>
        <item x="92"/>
        <item x="25"/>
        <item x="12"/>
        <item x="40"/>
        <item x="17"/>
        <item x="87"/>
        <item x="24"/>
        <item x="9"/>
        <item x="61"/>
        <item x="62"/>
        <item x="63"/>
        <item x="93"/>
        <item x="30"/>
        <item x="44"/>
        <item x="31"/>
        <item x="26"/>
        <item x="8"/>
        <item x="15"/>
        <item x="34"/>
        <item x="35"/>
        <item x="49"/>
        <item x="81"/>
        <item x="48"/>
        <item x="71"/>
        <item x="11"/>
        <item x="88"/>
        <item x="21"/>
        <item x="38"/>
        <item x="10"/>
        <item x="82"/>
        <item x="99"/>
        <item x="74"/>
        <item x="6"/>
        <item x="46"/>
        <item x="23"/>
        <item x="28"/>
        <item x="27"/>
        <item x="79"/>
        <item x="97"/>
        <item x="72"/>
        <item x="94"/>
        <item x="111"/>
        <item x="100"/>
        <item x="101"/>
        <item x="102"/>
        <item x="118"/>
        <item x="124"/>
        <item x="130"/>
        <item x="146"/>
        <item x="126"/>
        <item x="127"/>
        <item x="128"/>
        <item x="129"/>
        <item x="144"/>
        <item x="108"/>
        <item x="145"/>
        <item x="109"/>
        <item x="132"/>
        <item x="110"/>
        <item x="140"/>
        <item x="119"/>
        <item x="122"/>
        <item x="121"/>
        <item x="134"/>
        <item x="135"/>
        <item x="103"/>
        <item x="104"/>
        <item x="105"/>
        <item x="106"/>
        <item x="115"/>
        <item x="131"/>
        <item x="107"/>
        <item x="133"/>
        <item x="139"/>
        <item x="116"/>
        <item x="117"/>
        <item x="143"/>
        <item x="137"/>
        <item x="136"/>
        <item x="141"/>
        <item x="138"/>
        <item x="112"/>
        <item x="113"/>
        <item x="114"/>
        <item x="120"/>
        <item x="123"/>
        <item x="125"/>
        <item x="142"/>
        <item x="147"/>
        <item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0">
        <item x="3"/>
        <item x="0"/>
        <item x="1"/>
        <item x="2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9">
        <item x="6"/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0"/>
        <item x="1"/>
        <item x="2"/>
        <item x="3"/>
        <item x="4"/>
        <item m="1" x="9"/>
        <item x="6"/>
        <item m="1" x="10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1"/>
    <field x="15"/>
    <field x="19"/>
  </rowFields>
  <rowItems count="22">
    <i>
      <x v="8"/>
      <x/>
      <x v="5"/>
      <x v="1"/>
      <x v="1"/>
      <x v="1"/>
    </i>
    <i>
      <x v="24"/>
      <x/>
      <x v="5"/>
      <x v="1"/>
      <x v="1"/>
      <x v="1"/>
    </i>
    <i>
      <x v="31"/>
      <x/>
      <x v="6"/>
      <x v="1"/>
      <x v="1"/>
      <x v="1"/>
    </i>
    <i>
      <x v="46"/>
      <x/>
      <x v="5"/>
      <x v="2"/>
      <x v="1"/>
      <x v="1"/>
    </i>
    <i>
      <x v="54"/>
      <x/>
      <x v="6"/>
      <x v="1"/>
      <x v="1"/>
      <x v="1"/>
    </i>
    <i>
      <x v="60"/>
      <x/>
      <x v="5"/>
      <x v="1"/>
      <x v="1"/>
      <x v="1"/>
    </i>
    <i>
      <x v="76"/>
      <x/>
      <x v="5"/>
      <x v="1"/>
      <x v="1"/>
      <x v="1"/>
    </i>
    <i>
      <x v="81"/>
      <x/>
      <x v="5"/>
      <x v="1"/>
      <x v="1"/>
      <x v="1"/>
    </i>
    <i>
      <x v="83"/>
      <x/>
      <x v="10"/>
      <x v="1"/>
      <x v="2"/>
      <x v="1"/>
    </i>
    <i>
      <x v="91"/>
      <x/>
      <x v="6"/>
      <x v="1"/>
      <x v="1"/>
      <x v="1"/>
    </i>
    <i>
      <x v="100"/>
      <x/>
      <x v="31"/>
      <x v="7"/>
      <x v="12"/>
      <x v="1"/>
    </i>
    <i>
      <x v="101"/>
      <x/>
      <x v="27"/>
      <x v="7"/>
      <x v="10"/>
      <x v="1"/>
    </i>
    <i>
      <x v="102"/>
      <x/>
      <x v="27"/>
      <x v="7"/>
      <x v="10"/>
      <x v="1"/>
    </i>
    <i>
      <x v="113"/>
      <x/>
      <x v="33"/>
      <x v="7"/>
      <x v="14"/>
      <x v="1"/>
    </i>
    <i>
      <x v="120"/>
      <x/>
      <x v="29"/>
      <x v="7"/>
      <x v="15"/>
      <x v="9"/>
    </i>
    <i>
      <x v="121"/>
      <x/>
      <x v="32"/>
      <x v="7"/>
      <x v="17"/>
      <x v="1"/>
    </i>
    <i>
      <x v="122"/>
      <x/>
      <x v="44"/>
      <x v="9"/>
      <x v="19"/>
      <x v="1"/>
    </i>
    <i>
      <x v="127"/>
      <x/>
      <x v="28"/>
      <x v="7"/>
      <x v="12"/>
      <x v="1"/>
    </i>
    <i>
      <x v="128"/>
      <x/>
      <x v="28"/>
      <x v="7"/>
      <x v="12"/>
      <x v="1"/>
    </i>
    <i>
      <x v="143"/>
      <x/>
      <x v="32"/>
      <x v="7"/>
      <x v="17"/>
      <x v="1"/>
    </i>
    <i>
      <x v="144"/>
      <x/>
      <x v="32"/>
      <x v="7"/>
      <x v="1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QUANTID. SOLICITADA" fld="8" baseField="17" baseItem="3"/>
    <dataField name=" QUANT EMPENHADA" fld="13" baseField="15" baseItem="0"/>
    <dataField name="VALOR " fld="14" baseField="10" baseItem="11" numFmtId="44"/>
  </dataFields>
  <formats count="55">
    <format dxfId="879">
      <pivotArea type="all" dataOnly="0" outline="0" fieldPosition="0"/>
    </format>
    <format dxfId="878">
      <pivotArea outline="0" collapsedLevelsAreSubtotals="1" fieldPosition="0"/>
    </format>
    <format dxfId="877">
      <pivotArea dataOnly="0" labelOnly="1" grandRow="1" outline="0" fieldPosition="0"/>
    </format>
    <format dxfId="8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5">
      <pivotArea type="all" dataOnly="0" outline="0" fieldPosition="0"/>
    </format>
    <format dxfId="874">
      <pivotArea outline="0" collapsedLevelsAreSubtotals="1" fieldPosition="0"/>
    </format>
    <format dxfId="873">
      <pivotArea dataOnly="0" labelOnly="1" grandRow="1" outline="0" fieldPosition="0"/>
    </format>
    <format dxfId="872">
      <pivotArea outline="0" collapsedLevelsAreSubtotals="1" fieldPosition="0"/>
    </format>
    <format dxfId="871">
      <pivotArea dataOnly="0" labelOnly="1" grandRow="1" outline="0" fieldPosition="0"/>
    </format>
    <format dxfId="8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4">
      <pivotArea dataOnly="0" labelOnly="1" grandRow="1" outline="0" fieldPosition="0"/>
    </format>
    <format dxfId="863">
      <pivotArea grandRow="1" outline="0" collapsedLevelsAreSubtotals="1" fieldPosition="0"/>
    </format>
    <format dxfId="862">
      <pivotArea dataOnly="0" labelOnly="1" grandRow="1" outline="0" fieldPosition="0"/>
    </format>
    <format dxfId="861">
      <pivotArea type="all" dataOnly="0" outline="0" fieldPosition="0"/>
    </format>
    <format dxfId="860">
      <pivotArea outline="0" collapsedLevelsAreSubtotals="1" fieldPosition="0"/>
    </format>
    <format dxfId="859">
      <pivotArea dataOnly="0" labelOnly="1" grandRow="1" outline="0" fieldPosition="0"/>
    </format>
    <format dxfId="8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5">
      <pivotArea field="12" type="button" dataOnly="0" labelOnly="1" outline="0" axis="axisRow" fieldPosition="2"/>
    </format>
    <format dxfId="854">
      <pivotArea field="19" type="button" dataOnly="0" labelOnly="1" outline="0" axis="axisRow" fieldPosition="5"/>
    </format>
    <format dxfId="853">
      <pivotArea field="11" type="button" dataOnly="0" labelOnly="1" outline="0" axis="axisRow" fieldPosition="3"/>
    </format>
    <format dxfId="852">
      <pivotArea field="11" type="button" dataOnly="0" labelOnly="1" outline="0" axis="axisRow" fieldPosition="3"/>
    </format>
    <format dxfId="851">
      <pivotArea field="15" type="button" dataOnly="0" labelOnly="1" outline="0" axis="axisRow" fieldPosition="4"/>
    </format>
    <format dxfId="850">
      <pivotArea field="15" type="button" dataOnly="0" labelOnly="1" outline="0" axis="axisRow" fieldPosition="4"/>
    </format>
    <format dxfId="849">
      <pivotArea field="19" type="button" dataOnly="0" labelOnly="1" outline="0" axis="axisRow" fieldPosition="5"/>
    </format>
    <format dxfId="848">
      <pivotArea field="12" type="button" dataOnly="0" labelOnly="1" outline="0" axis="axisRow" fieldPosition="2"/>
    </format>
    <format dxfId="847">
      <pivotArea field="6" type="button" dataOnly="0" labelOnly="1" outline="0" axis="axisRow" fieldPosition="0"/>
    </format>
    <format dxfId="846">
      <pivotArea field="6" type="button" dataOnly="0" labelOnly="1" outline="0" axis="axisRow" fieldPosition="0"/>
    </format>
    <format dxfId="84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44">
      <pivotArea dataOnly="0" labelOnly="1" grandRow="1" outline="0" offset="IV256" fieldPosition="0"/>
    </format>
    <format dxfId="843">
      <pivotArea grandRow="1" outline="0" collapsedLevelsAreSubtotals="1" fieldPosition="0"/>
    </format>
    <format dxfId="842">
      <pivotArea field="11" type="button" dataOnly="0" labelOnly="1" outline="0" axis="axisRow" fieldPosition="3"/>
    </format>
    <format dxfId="84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4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39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3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3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835">
      <pivotArea type="all" dataOnly="0" outline="0" fieldPosition="0"/>
    </format>
    <format dxfId="834">
      <pivotArea outline="0" collapsedLevelsAreSubtotals="1" fieldPosition="0"/>
    </format>
    <format dxfId="833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832">
      <pivotArea dataOnly="0" labelOnly="1" grandRow="1" outline="0" fieldPosition="0"/>
    </format>
    <format dxfId="8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30">
      <pivotArea type="all" dataOnly="0" outline="0" fieldPosition="0"/>
    </format>
    <format dxfId="829">
      <pivotArea outline="0" collapsedLevelsAreSubtotals="1" fieldPosition="0"/>
    </format>
    <format dxfId="828">
      <pivotArea dataOnly="0" labelOnly="1" outline="0" fieldPosition="0">
        <references count="1">
          <reference field="6" count="20">
            <x v="0"/>
            <x v="2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827">
      <pivotArea dataOnly="0" labelOnly="1" grandRow="1" outline="0" fieldPosition="0"/>
    </format>
    <format dxfId="8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25">
      <pivotArea field="3" type="button" dataOnly="0" labelOnly="1" outline="0" axis="axisPage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8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1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0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2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workbookViewId="0">
      <selection activeCell="M15" sqref="M15"/>
    </sheetView>
  </sheetViews>
  <sheetFormatPr defaultRowHeight="15" x14ac:dyDescent="0.25"/>
  <cols>
    <col min="3" max="3" width="22.28515625" style="77" customWidth="1"/>
    <col min="7" max="7" width="16.5703125" customWidth="1"/>
    <col min="8" max="8" width="16.7109375" customWidth="1"/>
  </cols>
  <sheetData>
    <row r="1" spans="1:8" ht="21" x14ac:dyDescent="0.35">
      <c r="A1" s="201" t="s">
        <v>20</v>
      </c>
      <c r="B1" s="202"/>
      <c r="C1" s="202"/>
      <c r="D1" s="202"/>
      <c r="E1" s="202"/>
      <c r="F1" s="202"/>
      <c r="G1" s="202"/>
      <c r="H1" s="202"/>
    </row>
    <row r="2" spans="1:8" ht="15.75" thickBot="1" x14ac:dyDescent="0.3">
      <c r="A2" s="3" t="s">
        <v>21</v>
      </c>
      <c r="B2" s="203" t="s">
        <v>17</v>
      </c>
      <c r="C2" s="203"/>
      <c r="D2" s="203"/>
      <c r="E2" s="4"/>
      <c r="F2" s="4"/>
      <c r="G2" s="5"/>
    </row>
    <row r="3" spans="1:8" ht="24.75" thickTop="1" thickBot="1" x14ac:dyDescent="0.4">
      <c r="A3" s="3" t="s">
        <v>22</v>
      </c>
      <c r="B3" s="204" t="s">
        <v>23</v>
      </c>
      <c r="C3" s="204"/>
      <c r="D3" s="3" t="s">
        <v>24</v>
      </c>
      <c r="E3" s="6">
        <v>42830</v>
      </c>
      <c r="F3" s="205" t="s">
        <v>25</v>
      </c>
      <c r="G3" s="207">
        <f ca="1">E3-E4</f>
        <v>-929</v>
      </c>
    </row>
    <row r="4" spans="1:8" ht="15.75" thickBot="1" x14ac:dyDescent="0.3">
      <c r="A4" s="3"/>
      <c r="B4" s="209"/>
      <c r="C4" s="209"/>
      <c r="D4" s="3" t="s">
        <v>26</v>
      </c>
      <c r="E4" s="7">
        <f ca="1">TODAY()</f>
        <v>43759</v>
      </c>
      <c r="F4" s="206"/>
      <c r="G4" s="208"/>
    </row>
    <row r="5" spans="1:8" ht="33" thickTop="1" thickBot="1" x14ac:dyDescent="0.3">
      <c r="A5" s="3"/>
      <c r="C5" s="8"/>
      <c r="D5" s="3"/>
      <c r="E5" s="7"/>
      <c r="F5" s="9"/>
      <c r="G5" s="10"/>
    </row>
    <row r="6" spans="1:8" ht="19.5" thickTop="1" thickBot="1" x14ac:dyDescent="0.3">
      <c r="A6" s="3"/>
      <c r="B6" s="11"/>
      <c r="C6" s="11"/>
      <c r="D6" s="196" t="s">
        <v>27</v>
      </c>
      <c r="E6" s="197"/>
      <c r="F6" s="198"/>
      <c r="G6" s="12"/>
    </row>
    <row r="7" spans="1:8" ht="18.75" thickTop="1" x14ac:dyDescent="0.25">
      <c r="A7" s="3"/>
      <c r="B7" s="13"/>
      <c r="C7" s="13"/>
      <c r="D7" s="3"/>
      <c r="E7" s="14"/>
      <c r="F7" s="15"/>
      <c r="G7" s="5"/>
    </row>
    <row r="8" spans="1:8" ht="18" x14ac:dyDescent="0.25">
      <c r="A8" s="16" t="s">
        <v>28</v>
      </c>
      <c r="B8" s="199" t="s">
        <v>29</v>
      </c>
      <c r="C8" s="199"/>
      <c r="D8" s="199"/>
      <c r="E8" s="199"/>
      <c r="F8" s="199"/>
      <c r="G8" s="199"/>
      <c r="H8" s="199"/>
    </row>
    <row r="9" spans="1:8" x14ac:dyDescent="0.25">
      <c r="A9" s="16"/>
      <c r="B9" s="200" t="s">
        <v>30</v>
      </c>
      <c r="C9" s="200"/>
      <c r="D9" s="200"/>
      <c r="E9" s="200"/>
      <c r="F9" s="200"/>
      <c r="G9" s="200"/>
      <c r="H9" s="200"/>
    </row>
    <row r="10" spans="1:8" ht="15.75" thickBot="1" x14ac:dyDescent="0.3">
      <c r="A10" s="17"/>
      <c r="B10" s="17"/>
      <c r="C10" s="17"/>
      <c r="D10" s="17"/>
      <c r="E10" s="17"/>
      <c r="F10" s="17"/>
      <c r="G10" s="5"/>
    </row>
    <row r="11" spans="1:8" ht="60.75" thickTop="1" x14ac:dyDescent="0.25">
      <c r="A11" s="18" t="s">
        <v>31</v>
      </c>
      <c r="B11" s="18" t="s">
        <v>32</v>
      </c>
      <c r="C11" s="19" t="s">
        <v>33</v>
      </c>
      <c r="D11" s="19" t="s">
        <v>34</v>
      </c>
      <c r="E11" s="19" t="s">
        <v>35</v>
      </c>
      <c r="F11" s="19" t="s">
        <v>36</v>
      </c>
      <c r="G11" s="20" t="s">
        <v>37</v>
      </c>
      <c r="H11" s="21" t="s">
        <v>38</v>
      </c>
    </row>
    <row r="12" spans="1:8" ht="22.5" x14ac:dyDescent="0.25">
      <c r="A12" s="22">
        <v>1</v>
      </c>
      <c r="B12" s="22">
        <v>4</v>
      </c>
      <c r="C12" s="23" t="s">
        <v>39</v>
      </c>
      <c r="D12" s="22">
        <v>50</v>
      </c>
      <c r="E12" s="22">
        <f>8</f>
        <v>8</v>
      </c>
      <c r="F12" s="24">
        <f>SUM(D12-E12)</f>
        <v>42</v>
      </c>
      <c r="G12" s="24"/>
      <c r="H12" s="25">
        <v>1020</v>
      </c>
    </row>
    <row r="13" spans="1:8" ht="22.5" x14ac:dyDescent="0.25">
      <c r="A13" s="22">
        <v>2</v>
      </c>
      <c r="B13" s="22">
        <v>4</v>
      </c>
      <c r="C13" s="23" t="s">
        <v>40</v>
      </c>
      <c r="D13" s="22">
        <v>29</v>
      </c>
      <c r="E13" s="22">
        <f>2</f>
        <v>2</v>
      </c>
      <c r="F13" s="24">
        <f t="shared" ref="F13:F76" si="0">SUM(D13-E13)</f>
        <v>27</v>
      </c>
      <c r="G13" s="24"/>
      <c r="H13" s="25">
        <v>1800</v>
      </c>
    </row>
    <row r="14" spans="1:8" ht="33.75" x14ac:dyDescent="0.25">
      <c r="A14" s="22">
        <v>3</v>
      </c>
      <c r="B14" s="22">
        <v>2</v>
      </c>
      <c r="C14" s="23" t="s">
        <v>41</v>
      </c>
      <c r="D14" s="22">
        <v>50</v>
      </c>
      <c r="E14" s="22">
        <f>18</f>
        <v>18</v>
      </c>
      <c r="F14" s="24">
        <f t="shared" si="0"/>
        <v>32</v>
      </c>
      <c r="G14" s="24"/>
      <c r="H14" s="25">
        <v>88</v>
      </c>
    </row>
    <row r="15" spans="1:8" ht="33.75" x14ac:dyDescent="0.25">
      <c r="A15" s="26">
        <v>4</v>
      </c>
      <c r="B15" s="26">
        <v>4</v>
      </c>
      <c r="C15" s="27" t="s">
        <v>42</v>
      </c>
      <c r="D15" s="26">
        <v>40</v>
      </c>
      <c r="E15" s="26">
        <f>40</f>
        <v>40</v>
      </c>
      <c r="F15" s="28">
        <f t="shared" si="0"/>
        <v>0</v>
      </c>
      <c r="G15" s="28"/>
      <c r="H15" s="29">
        <v>7.99</v>
      </c>
    </row>
    <row r="16" spans="1:8" ht="22.5" x14ac:dyDescent="0.25">
      <c r="A16" s="22">
        <v>5</v>
      </c>
      <c r="B16" s="22">
        <v>4</v>
      </c>
      <c r="C16" s="23" t="s">
        <v>43</v>
      </c>
      <c r="D16" s="22">
        <v>100</v>
      </c>
      <c r="E16" s="22">
        <f>50</f>
        <v>50</v>
      </c>
      <c r="F16" s="24">
        <f t="shared" si="0"/>
        <v>50</v>
      </c>
      <c r="G16" s="24"/>
      <c r="H16" s="25">
        <v>11</v>
      </c>
    </row>
    <row r="17" spans="1:8" ht="22.5" x14ac:dyDescent="0.25">
      <c r="A17" s="22">
        <v>6</v>
      </c>
      <c r="B17" s="30">
        <v>4</v>
      </c>
      <c r="C17" s="23" t="s">
        <v>44</v>
      </c>
      <c r="D17" s="30">
        <v>50</v>
      </c>
      <c r="E17" s="30">
        <f>35</f>
        <v>35</v>
      </c>
      <c r="F17" s="24">
        <f t="shared" si="0"/>
        <v>15</v>
      </c>
      <c r="G17" s="31"/>
      <c r="H17" s="32">
        <v>9.1999999999999993</v>
      </c>
    </row>
    <row r="18" spans="1:8" ht="22.5" x14ac:dyDescent="0.25">
      <c r="A18" s="22">
        <v>7</v>
      </c>
      <c r="B18" s="30">
        <v>4</v>
      </c>
      <c r="C18" s="23" t="s">
        <v>45</v>
      </c>
      <c r="D18" s="30">
        <v>50</v>
      </c>
      <c r="E18" s="30">
        <f>40</f>
        <v>40</v>
      </c>
      <c r="F18" s="24">
        <f t="shared" si="0"/>
        <v>10</v>
      </c>
      <c r="G18" s="31"/>
      <c r="H18" s="32">
        <v>10.199999999999999</v>
      </c>
    </row>
    <row r="19" spans="1:8" ht="22.5" x14ac:dyDescent="0.25">
      <c r="A19" s="22">
        <v>8</v>
      </c>
      <c r="B19" s="30">
        <v>4</v>
      </c>
      <c r="C19" s="23" t="s">
        <v>46</v>
      </c>
      <c r="D19" s="30">
        <v>150</v>
      </c>
      <c r="E19" s="30">
        <f>55</f>
        <v>55</v>
      </c>
      <c r="F19" s="24">
        <f t="shared" si="0"/>
        <v>95</v>
      </c>
      <c r="G19" s="31"/>
      <c r="H19" s="32">
        <v>11</v>
      </c>
    </row>
    <row r="20" spans="1:8" ht="22.5" x14ac:dyDescent="0.25">
      <c r="A20" s="22">
        <v>9</v>
      </c>
      <c r="B20" s="30">
        <v>4</v>
      </c>
      <c r="C20" s="23" t="s">
        <v>47</v>
      </c>
      <c r="D20" s="30">
        <v>300</v>
      </c>
      <c r="E20" s="30">
        <f>66</f>
        <v>66</v>
      </c>
      <c r="F20" s="24">
        <f t="shared" si="0"/>
        <v>234</v>
      </c>
      <c r="G20" s="31"/>
      <c r="H20" s="32">
        <v>12</v>
      </c>
    </row>
    <row r="21" spans="1:8" ht="22.5" x14ac:dyDescent="0.25">
      <c r="A21" s="22">
        <v>10</v>
      </c>
      <c r="B21" s="30">
        <v>4</v>
      </c>
      <c r="C21" s="23" t="s">
        <v>48</v>
      </c>
      <c r="D21" s="30">
        <v>150</v>
      </c>
      <c r="E21" s="30">
        <f>40</f>
        <v>40</v>
      </c>
      <c r="F21" s="24">
        <f t="shared" si="0"/>
        <v>110</v>
      </c>
      <c r="G21" s="31"/>
      <c r="H21" s="32">
        <v>15.95</v>
      </c>
    </row>
    <row r="22" spans="1:8" ht="22.5" x14ac:dyDescent="0.25">
      <c r="A22" s="22">
        <v>11</v>
      </c>
      <c r="B22" s="30">
        <v>4</v>
      </c>
      <c r="C22" s="23" t="s">
        <v>49</v>
      </c>
      <c r="D22" s="30">
        <v>40</v>
      </c>
      <c r="E22" s="30">
        <f>5</f>
        <v>5</v>
      </c>
      <c r="F22" s="24">
        <f t="shared" si="0"/>
        <v>35</v>
      </c>
      <c r="G22" s="31"/>
      <c r="H22" s="32">
        <v>15.55</v>
      </c>
    </row>
    <row r="23" spans="1:8" ht="78.75" x14ac:dyDescent="0.25">
      <c r="A23" s="33">
        <v>12</v>
      </c>
      <c r="B23" s="34">
        <v>4</v>
      </c>
      <c r="C23" s="23" t="s">
        <v>50</v>
      </c>
      <c r="D23" s="34">
        <v>100</v>
      </c>
      <c r="E23" s="34">
        <f>85</f>
        <v>85</v>
      </c>
      <c r="F23" s="24">
        <f t="shared" si="0"/>
        <v>15</v>
      </c>
      <c r="G23" s="35"/>
      <c r="H23" s="36">
        <v>11.98</v>
      </c>
    </row>
    <row r="24" spans="1:8" ht="78.75" x14ac:dyDescent="0.25">
      <c r="A24" s="33">
        <v>13</v>
      </c>
      <c r="B24" s="34">
        <v>4</v>
      </c>
      <c r="C24" s="23" t="s">
        <v>51</v>
      </c>
      <c r="D24" s="34">
        <v>200</v>
      </c>
      <c r="E24" s="34">
        <f>40</f>
        <v>40</v>
      </c>
      <c r="F24" s="24">
        <f t="shared" si="0"/>
        <v>160</v>
      </c>
      <c r="G24" s="35"/>
      <c r="H24" s="36">
        <v>12.65</v>
      </c>
    </row>
    <row r="25" spans="1:8" ht="67.5" x14ac:dyDescent="0.25">
      <c r="A25" s="33">
        <v>14</v>
      </c>
      <c r="B25" s="34">
        <v>4</v>
      </c>
      <c r="C25" s="23" t="s">
        <v>52</v>
      </c>
      <c r="D25" s="34">
        <v>50</v>
      </c>
      <c r="E25" s="34"/>
      <c r="F25" s="24">
        <f t="shared" si="0"/>
        <v>50</v>
      </c>
      <c r="G25" s="35">
        <f>5</f>
        <v>5</v>
      </c>
      <c r="H25" s="36">
        <v>10.98</v>
      </c>
    </row>
    <row r="26" spans="1:8" ht="67.5" x14ac:dyDescent="0.25">
      <c r="A26" s="37">
        <v>15</v>
      </c>
      <c r="B26" s="38">
        <v>4</v>
      </c>
      <c r="C26" s="27" t="s">
        <v>53</v>
      </c>
      <c r="D26" s="38">
        <v>50</v>
      </c>
      <c r="E26" s="38">
        <f>50</f>
        <v>50</v>
      </c>
      <c r="F26" s="28">
        <f t="shared" si="0"/>
        <v>0</v>
      </c>
      <c r="G26" s="39"/>
      <c r="H26" s="40">
        <v>15.33</v>
      </c>
    </row>
    <row r="27" spans="1:8" ht="112.5" x14ac:dyDescent="0.25">
      <c r="A27" s="33">
        <v>16</v>
      </c>
      <c r="B27" s="34">
        <v>4</v>
      </c>
      <c r="C27" s="23" t="s">
        <v>54</v>
      </c>
      <c r="D27" s="34">
        <v>50</v>
      </c>
      <c r="E27" s="34">
        <f>15</f>
        <v>15</v>
      </c>
      <c r="F27" s="24">
        <f t="shared" si="0"/>
        <v>35</v>
      </c>
      <c r="G27" s="35">
        <f>15</f>
        <v>15</v>
      </c>
      <c r="H27" s="36">
        <v>18.98</v>
      </c>
    </row>
    <row r="28" spans="1:8" ht="112.5" x14ac:dyDescent="0.25">
      <c r="A28" s="33">
        <v>17</v>
      </c>
      <c r="B28" s="34">
        <v>4</v>
      </c>
      <c r="C28" s="23" t="s">
        <v>55</v>
      </c>
      <c r="D28" s="34">
        <v>30</v>
      </c>
      <c r="E28" s="34">
        <f>15</f>
        <v>15</v>
      </c>
      <c r="F28" s="24">
        <f t="shared" si="0"/>
        <v>15</v>
      </c>
      <c r="G28" s="35"/>
      <c r="H28" s="36">
        <v>25</v>
      </c>
    </row>
    <row r="29" spans="1:8" ht="78.75" x14ac:dyDescent="0.25">
      <c r="A29" s="37">
        <v>18</v>
      </c>
      <c r="B29" s="38">
        <v>4</v>
      </c>
      <c r="C29" s="23" t="s">
        <v>56</v>
      </c>
      <c r="D29" s="38">
        <v>20</v>
      </c>
      <c r="E29" s="38">
        <f>20</f>
        <v>20</v>
      </c>
      <c r="F29" s="28">
        <f t="shared" si="0"/>
        <v>0</v>
      </c>
      <c r="G29" s="39"/>
      <c r="H29" s="40">
        <v>22.98</v>
      </c>
    </row>
    <row r="30" spans="1:8" ht="101.25" x14ac:dyDescent="0.25">
      <c r="A30" s="37">
        <v>19</v>
      </c>
      <c r="B30" s="38">
        <v>4</v>
      </c>
      <c r="C30" s="27" t="s">
        <v>57</v>
      </c>
      <c r="D30" s="38">
        <v>20</v>
      </c>
      <c r="E30" s="38">
        <f>20</f>
        <v>20</v>
      </c>
      <c r="F30" s="28">
        <f t="shared" si="0"/>
        <v>0</v>
      </c>
      <c r="G30" s="39"/>
      <c r="H30" s="40">
        <v>21.25</v>
      </c>
    </row>
    <row r="31" spans="1:8" ht="33.75" x14ac:dyDescent="0.25">
      <c r="A31" s="37">
        <v>20</v>
      </c>
      <c r="B31" s="38">
        <v>4</v>
      </c>
      <c r="C31" s="27" t="s">
        <v>58</v>
      </c>
      <c r="D31" s="38">
        <v>100</v>
      </c>
      <c r="E31" s="38">
        <f>100</f>
        <v>100</v>
      </c>
      <c r="F31" s="28">
        <f t="shared" si="0"/>
        <v>0</v>
      </c>
      <c r="G31" s="39"/>
      <c r="H31" s="40">
        <v>11.2</v>
      </c>
    </row>
    <row r="32" spans="1:8" ht="45" x14ac:dyDescent="0.25">
      <c r="A32" s="33">
        <v>21</v>
      </c>
      <c r="B32" s="34">
        <v>4</v>
      </c>
      <c r="C32" s="23" t="s">
        <v>59</v>
      </c>
      <c r="D32" s="34">
        <v>100</v>
      </c>
      <c r="E32" s="34">
        <f>79</f>
        <v>79</v>
      </c>
      <c r="F32" s="24">
        <f t="shared" si="0"/>
        <v>21</v>
      </c>
      <c r="G32" s="35"/>
      <c r="H32" s="36">
        <v>13</v>
      </c>
    </row>
    <row r="33" spans="1:8" ht="45" x14ac:dyDescent="0.25">
      <c r="A33" s="33">
        <v>22</v>
      </c>
      <c r="B33" s="34">
        <v>2</v>
      </c>
      <c r="C33" s="23" t="s">
        <v>60</v>
      </c>
      <c r="D33" s="34">
        <v>150</v>
      </c>
      <c r="E33" s="34">
        <f>122</f>
        <v>122</v>
      </c>
      <c r="F33" s="24">
        <f t="shared" si="0"/>
        <v>28</v>
      </c>
      <c r="G33" s="35"/>
      <c r="H33" s="36">
        <v>32.49</v>
      </c>
    </row>
    <row r="34" spans="1:8" ht="45" x14ac:dyDescent="0.25">
      <c r="A34" s="33">
        <v>23</v>
      </c>
      <c r="B34" s="34">
        <v>4</v>
      </c>
      <c r="C34" s="23" t="s">
        <v>61</v>
      </c>
      <c r="D34" s="34">
        <v>300</v>
      </c>
      <c r="E34" s="34">
        <f>171</f>
        <v>171</v>
      </c>
      <c r="F34" s="24">
        <f t="shared" si="0"/>
        <v>129</v>
      </c>
      <c r="G34" s="35"/>
      <c r="H34" s="36">
        <v>4.74</v>
      </c>
    </row>
    <row r="35" spans="1:8" ht="45" x14ac:dyDescent="0.25">
      <c r="A35" s="33">
        <v>24</v>
      </c>
      <c r="B35" s="34">
        <v>2</v>
      </c>
      <c r="C35" s="23" t="s">
        <v>62</v>
      </c>
      <c r="D35" s="34">
        <v>200</v>
      </c>
      <c r="E35" s="34">
        <f>105</f>
        <v>105</v>
      </c>
      <c r="F35" s="24">
        <f t="shared" si="0"/>
        <v>95</v>
      </c>
      <c r="G35" s="35"/>
      <c r="H35" s="36">
        <v>9.91</v>
      </c>
    </row>
    <row r="36" spans="1:8" ht="45" x14ac:dyDescent="0.25">
      <c r="A36" s="33">
        <v>25</v>
      </c>
      <c r="B36" s="34">
        <v>4</v>
      </c>
      <c r="C36" s="23" t="s">
        <v>63</v>
      </c>
      <c r="D36" s="34">
        <v>200</v>
      </c>
      <c r="E36" s="34">
        <f>105</f>
        <v>105</v>
      </c>
      <c r="F36" s="24">
        <f t="shared" si="0"/>
        <v>95</v>
      </c>
      <c r="G36" s="35"/>
      <c r="H36" s="36">
        <v>5.42</v>
      </c>
    </row>
    <row r="37" spans="1:8" ht="45" x14ac:dyDescent="0.25">
      <c r="A37" s="33">
        <v>26</v>
      </c>
      <c r="B37" s="34">
        <v>4</v>
      </c>
      <c r="C37" s="23" t="s">
        <v>64</v>
      </c>
      <c r="D37" s="34">
        <v>200</v>
      </c>
      <c r="E37" s="34">
        <f>7</f>
        <v>7</v>
      </c>
      <c r="F37" s="24">
        <f t="shared" si="0"/>
        <v>193</v>
      </c>
      <c r="G37" s="35"/>
      <c r="H37" s="36">
        <v>12.2</v>
      </c>
    </row>
    <row r="38" spans="1:8" ht="45" x14ac:dyDescent="0.25">
      <c r="A38" s="33">
        <v>27</v>
      </c>
      <c r="B38" s="34">
        <v>4</v>
      </c>
      <c r="C38" s="23" t="s">
        <v>65</v>
      </c>
      <c r="D38" s="34">
        <v>200</v>
      </c>
      <c r="E38" s="34">
        <f>47</f>
        <v>47</v>
      </c>
      <c r="F38" s="24">
        <f t="shared" si="0"/>
        <v>153</v>
      </c>
      <c r="G38" s="35"/>
      <c r="H38" s="36">
        <v>10.199999999999999</v>
      </c>
    </row>
    <row r="39" spans="1:8" ht="33.75" x14ac:dyDescent="0.25">
      <c r="A39" s="33">
        <v>28</v>
      </c>
      <c r="B39" s="34">
        <v>2</v>
      </c>
      <c r="C39" s="23" t="s">
        <v>66</v>
      </c>
      <c r="D39" s="34">
        <v>100</v>
      </c>
      <c r="E39" s="34">
        <f>85</f>
        <v>85</v>
      </c>
      <c r="F39" s="24">
        <f t="shared" si="0"/>
        <v>15</v>
      </c>
      <c r="G39" s="35"/>
      <c r="H39" s="36">
        <v>19.04</v>
      </c>
    </row>
    <row r="40" spans="1:8" ht="45" x14ac:dyDescent="0.25">
      <c r="A40" s="33">
        <v>29</v>
      </c>
      <c r="B40" s="34">
        <v>4</v>
      </c>
      <c r="C40" s="23" t="s">
        <v>67</v>
      </c>
      <c r="D40" s="34">
        <v>300</v>
      </c>
      <c r="E40" s="34">
        <f>16</f>
        <v>16</v>
      </c>
      <c r="F40" s="24">
        <f t="shared" si="0"/>
        <v>284</v>
      </c>
      <c r="G40" s="35"/>
      <c r="H40" s="36">
        <v>7</v>
      </c>
    </row>
    <row r="41" spans="1:8" ht="45" x14ac:dyDescent="0.25">
      <c r="A41" s="33">
        <v>30</v>
      </c>
      <c r="B41" s="34">
        <v>4</v>
      </c>
      <c r="C41" s="23" t="s">
        <v>68</v>
      </c>
      <c r="D41" s="34">
        <v>50</v>
      </c>
      <c r="E41" s="34">
        <f>5</f>
        <v>5</v>
      </c>
      <c r="F41" s="24">
        <f t="shared" si="0"/>
        <v>45</v>
      </c>
      <c r="G41" s="35"/>
      <c r="H41" s="36">
        <v>13.98</v>
      </c>
    </row>
    <row r="42" spans="1:8" ht="33.75" x14ac:dyDescent="0.25">
      <c r="A42" s="37">
        <v>31</v>
      </c>
      <c r="B42" s="38">
        <v>5</v>
      </c>
      <c r="C42" s="27" t="s">
        <v>69</v>
      </c>
      <c r="D42" s="38">
        <v>50</v>
      </c>
      <c r="E42" s="38">
        <f>50</f>
        <v>50</v>
      </c>
      <c r="F42" s="28">
        <f t="shared" si="0"/>
        <v>0</v>
      </c>
      <c r="G42" s="39"/>
      <c r="H42" s="40">
        <v>7.19</v>
      </c>
    </row>
    <row r="43" spans="1:8" ht="33.75" x14ac:dyDescent="0.25">
      <c r="A43" s="37">
        <v>32</v>
      </c>
      <c r="B43" s="38">
        <v>5</v>
      </c>
      <c r="C43" s="27" t="s">
        <v>70</v>
      </c>
      <c r="D43" s="38">
        <v>20</v>
      </c>
      <c r="E43" s="38">
        <f>20</f>
        <v>20</v>
      </c>
      <c r="F43" s="28">
        <f t="shared" si="0"/>
        <v>0</v>
      </c>
      <c r="G43" s="39"/>
      <c r="H43" s="40">
        <v>10.14</v>
      </c>
    </row>
    <row r="44" spans="1:8" x14ac:dyDescent="0.25">
      <c r="A44" s="33">
        <v>33</v>
      </c>
      <c r="B44" s="34">
        <v>4</v>
      </c>
      <c r="C44" s="41" t="s">
        <v>71</v>
      </c>
      <c r="D44" s="34">
        <v>100</v>
      </c>
      <c r="E44" s="34">
        <f>33</f>
        <v>33</v>
      </c>
      <c r="F44" s="24">
        <f t="shared" si="0"/>
        <v>67</v>
      </c>
      <c r="G44" s="35"/>
      <c r="H44" s="36">
        <v>18.95</v>
      </c>
    </row>
    <row r="45" spans="1:8" x14ac:dyDescent="0.25">
      <c r="A45" s="33">
        <v>34</v>
      </c>
      <c r="B45" s="34">
        <v>4</v>
      </c>
      <c r="C45" s="41" t="s">
        <v>72</v>
      </c>
      <c r="D45" s="34">
        <v>100</v>
      </c>
      <c r="E45" s="34">
        <f>18</f>
        <v>18</v>
      </c>
      <c r="F45" s="24">
        <f t="shared" si="0"/>
        <v>82</v>
      </c>
      <c r="G45" s="35"/>
      <c r="H45" s="36">
        <v>22.55</v>
      </c>
    </row>
    <row r="46" spans="1:8" x14ac:dyDescent="0.25">
      <c r="A46" s="33">
        <v>35</v>
      </c>
      <c r="B46" s="34">
        <v>4</v>
      </c>
      <c r="C46" s="41" t="s">
        <v>73</v>
      </c>
      <c r="D46" s="34">
        <v>100</v>
      </c>
      <c r="E46" s="34">
        <f>17</f>
        <v>17</v>
      </c>
      <c r="F46" s="24">
        <f t="shared" si="0"/>
        <v>83</v>
      </c>
      <c r="G46" s="35"/>
      <c r="H46" s="36">
        <v>29.55</v>
      </c>
    </row>
    <row r="47" spans="1:8" ht="22.5" x14ac:dyDescent="0.25">
      <c r="A47" s="37">
        <v>36</v>
      </c>
      <c r="B47" s="38">
        <v>4</v>
      </c>
      <c r="C47" s="27" t="s">
        <v>74</v>
      </c>
      <c r="D47" s="38">
        <v>100</v>
      </c>
      <c r="E47" s="38">
        <f>100</f>
        <v>100</v>
      </c>
      <c r="F47" s="28">
        <f t="shared" si="0"/>
        <v>0</v>
      </c>
      <c r="G47" s="39"/>
      <c r="H47" s="40">
        <v>3.35</v>
      </c>
    </row>
    <row r="48" spans="1:8" ht="22.5" x14ac:dyDescent="0.25">
      <c r="A48" s="33">
        <v>37</v>
      </c>
      <c r="B48" s="34">
        <v>4</v>
      </c>
      <c r="C48" s="23" t="s">
        <v>75</v>
      </c>
      <c r="D48" s="34">
        <v>100</v>
      </c>
      <c r="E48" s="34">
        <f>10</f>
        <v>10</v>
      </c>
      <c r="F48" s="24">
        <f t="shared" si="0"/>
        <v>90</v>
      </c>
      <c r="G48" s="35"/>
      <c r="H48" s="36">
        <v>6.88</v>
      </c>
    </row>
    <row r="49" spans="1:8" ht="22.5" x14ac:dyDescent="0.25">
      <c r="A49" s="33">
        <v>38</v>
      </c>
      <c r="B49" s="34">
        <v>4</v>
      </c>
      <c r="C49" s="23" t="s">
        <v>76</v>
      </c>
      <c r="D49" s="34">
        <v>100</v>
      </c>
      <c r="E49" s="34"/>
      <c r="F49" s="24">
        <f t="shared" si="0"/>
        <v>100</v>
      </c>
      <c r="G49" s="35">
        <f>6</f>
        <v>6</v>
      </c>
      <c r="H49" s="36">
        <v>14.88</v>
      </c>
    </row>
    <row r="50" spans="1:8" x14ac:dyDescent="0.25">
      <c r="A50" s="37">
        <v>39</v>
      </c>
      <c r="B50" s="38">
        <v>4</v>
      </c>
      <c r="C50" s="42" t="s">
        <v>77</v>
      </c>
      <c r="D50" s="38">
        <v>100</v>
      </c>
      <c r="E50" s="38">
        <f>100</f>
        <v>100</v>
      </c>
      <c r="F50" s="28">
        <f t="shared" si="0"/>
        <v>0</v>
      </c>
      <c r="G50" s="39"/>
      <c r="H50" s="40">
        <v>3.22</v>
      </c>
    </row>
    <row r="51" spans="1:8" x14ac:dyDescent="0.25">
      <c r="A51" s="33">
        <v>40</v>
      </c>
      <c r="B51" s="34">
        <v>4</v>
      </c>
      <c r="C51" s="41" t="s">
        <v>78</v>
      </c>
      <c r="D51" s="34">
        <v>100</v>
      </c>
      <c r="E51" s="34">
        <f>19</f>
        <v>19</v>
      </c>
      <c r="F51" s="24">
        <f t="shared" si="0"/>
        <v>81</v>
      </c>
      <c r="G51" s="35"/>
      <c r="H51" s="36">
        <v>5.07</v>
      </c>
    </row>
    <row r="52" spans="1:8" ht="22.5" x14ac:dyDescent="0.25">
      <c r="A52" s="33">
        <v>41</v>
      </c>
      <c r="B52" s="34">
        <v>4</v>
      </c>
      <c r="C52" s="23" t="s">
        <v>79</v>
      </c>
      <c r="D52" s="34">
        <v>100</v>
      </c>
      <c r="E52" s="34">
        <f>8</f>
        <v>8</v>
      </c>
      <c r="F52" s="24">
        <f t="shared" si="0"/>
        <v>92</v>
      </c>
      <c r="G52" s="35"/>
      <c r="H52" s="36">
        <v>14</v>
      </c>
    </row>
    <row r="53" spans="1:8" ht="22.5" x14ac:dyDescent="0.25">
      <c r="A53" s="33">
        <v>42</v>
      </c>
      <c r="B53" s="34">
        <v>4</v>
      </c>
      <c r="C53" s="23" t="s">
        <v>80</v>
      </c>
      <c r="D53" s="34">
        <v>30</v>
      </c>
      <c r="E53" s="34">
        <f>25</f>
        <v>25</v>
      </c>
      <c r="F53" s="24">
        <f t="shared" si="0"/>
        <v>5</v>
      </c>
      <c r="G53" s="35"/>
      <c r="H53" s="36">
        <v>128.77000000000001</v>
      </c>
    </row>
    <row r="54" spans="1:8" x14ac:dyDescent="0.25">
      <c r="A54" s="33">
        <v>43</v>
      </c>
      <c r="B54" s="34">
        <v>7</v>
      </c>
      <c r="C54" s="41" t="s">
        <v>81</v>
      </c>
      <c r="D54" s="34">
        <v>20</v>
      </c>
      <c r="E54" s="34">
        <f>8</f>
        <v>8</v>
      </c>
      <c r="F54" s="24">
        <f t="shared" si="0"/>
        <v>12</v>
      </c>
      <c r="G54" s="35"/>
      <c r="H54" s="36">
        <v>178</v>
      </c>
    </row>
    <row r="55" spans="1:8" x14ac:dyDescent="0.25">
      <c r="A55" s="33">
        <v>44</v>
      </c>
      <c r="B55" s="34">
        <v>4</v>
      </c>
      <c r="C55" s="41" t="s">
        <v>82</v>
      </c>
      <c r="D55" s="34">
        <v>70</v>
      </c>
      <c r="E55" s="34">
        <f>51</f>
        <v>51</v>
      </c>
      <c r="F55" s="24">
        <f t="shared" si="0"/>
        <v>19</v>
      </c>
      <c r="G55" s="35"/>
      <c r="H55" s="36">
        <v>0.17</v>
      </c>
    </row>
    <row r="56" spans="1:8" x14ac:dyDescent="0.25">
      <c r="A56" s="33">
        <v>45</v>
      </c>
      <c r="B56" s="34">
        <v>4</v>
      </c>
      <c r="C56" s="41" t="s">
        <v>83</v>
      </c>
      <c r="D56" s="34">
        <v>100</v>
      </c>
      <c r="E56" s="34">
        <f>21</f>
        <v>21</v>
      </c>
      <c r="F56" s="24">
        <f t="shared" si="0"/>
        <v>79</v>
      </c>
      <c r="G56" s="35"/>
      <c r="H56" s="36">
        <v>0.79</v>
      </c>
    </row>
    <row r="57" spans="1:8" x14ac:dyDescent="0.25">
      <c r="A57" s="37">
        <v>46</v>
      </c>
      <c r="B57" s="38">
        <v>9</v>
      </c>
      <c r="C57" s="42" t="s">
        <v>84</v>
      </c>
      <c r="D57" s="38">
        <v>100</v>
      </c>
      <c r="E57" s="38">
        <f>100</f>
        <v>100</v>
      </c>
      <c r="F57" s="28">
        <f t="shared" si="0"/>
        <v>0</v>
      </c>
      <c r="G57" s="39"/>
      <c r="H57" s="40">
        <v>1.3</v>
      </c>
    </row>
    <row r="58" spans="1:8" ht="67.5" x14ac:dyDescent="0.25">
      <c r="A58" s="33">
        <v>47</v>
      </c>
      <c r="B58" s="34">
        <v>9</v>
      </c>
      <c r="C58" s="23" t="s">
        <v>85</v>
      </c>
      <c r="D58" s="34">
        <v>300</v>
      </c>
      <c r="E58" s="34">
        <f>57</f>
        <v>57</v>
      </c>
      <c r="F58" s="24">
        <f t="shared" si="0"/>
        <v>243</v>
      </c>
      <c r="G58" s="35"/>
      <c r="H58" s="36">
        <v>1.98</v>
      </c>
    </row>
    <row r="59" spans="1:8" ht="33.75" x14ac:dyDescent="0.25">
      <c r="A59" s="33">
        <v>48</v>
      </c>
      <c r="B59" s="34">
        <v>4</v>
      </c>
      <c r="C59" s="23" t="s">
        <v>184</v>
      </c>
      <c r="D59" s="34">
        <v>70</v>
      </c>
      <c r="E59" s="34">
        <f>1</f>
        <v>1</v>
      </c>
      <c r="F59" s="24">
        <f t="shared" si="0"/>
        <v>69</v>
      </c>
      <c r="G59" s="35">
        <f>1</f>
        <v>1</v>
      </c>
      <c r="H59" s="36">
        <v>29.95</v>
      </c>
    </row>
    <row r="60" spans="1:8" ht="33.75" x14ac:dyDescent="0.25">
      <c r="A60" s="33">
        <v>49</v>
      </c>
      <c r="B60" s="34">
        <v>4</v>
      </c>
      <c r="C60" s="23" t="s">
        <v>185</v>
      </c>
      <c r="D60" s="34">
        <v>70</v>
      </c>
      <c r="E60" s="34">
        <f>1</f>
        <v>1</v>
      </c>
      <c r="F60" s="24">
        <f t="shared" si="0"/>
        <v>69</v>
      </c>
      <c r="G60" s="35">
        <f>1</f>
        <v>1</v>
      </c>
      <c r="H60" s="36">
        <v>10.97</v>
      </c>
    </row>
    <row r="61" spans="1:8" ht="33.75" x14ac:dyDescent="0.25">
      <c r="A61" s="33">
        <v>50</v>
      </c>
      <c r="B61" s="34">
        <v>4</v>
      </c>
      <c r="C61" s="23" t="s">
        <v>186</v>
      </c>
      <c r="D61" s="34">
        <v>70</v>
      </c>
      <c r="E61" s="34"/>
      <c r="F61" s="24">
        <f t="shared" si="0"/>
        <v>70</v>
      </c>
      <c r="G61" s="35"/>
      <c r="H61" s="36">
        <v>8.35</v>
      </c>
    </row>
    <row r="62" spans="1:8" ht="33.75" x14ac:dyDescent="0.25">
      <c r="A62" s="33">
        <v>51</v>
      </c>
      <c r="B62" s="34">
        <v>4</v>
      </c>
      <c r="C62" s="23" t="s">
        <v>187</v>
      </c>
      <c r="D62" s="34">
        <v>30</v>
      </c>
      <c r="E62" s="34">
        <f>3</f>
        <v>3</v>
      </c>
      <c r="F62" s="24">
        <f t="shared" si="0"/>
        <v>27</v>
      </c>
      <c r="G62" s="35">
        <f>1+2</f>
        <v>3</v>
      </c>
      <c r="H62" s="36">
        <v>19.190000000000001</v>
      </c>
    </row>
    <row r="63" spans="1:8" ht="56.25" x14ac:dyDescent="0.25">
      <c r="A63" s="33">
        <v>52</v>
      </c>
      <c r="B63" s="34">
        <v>4</v>
      </c>
      <c r="C63" s="23" t="s">
        <v>86</v>
      </c>
      <c r="D63" s="34">
        <v>150</v>
      </c>
      <c r="E63" s="34">
        <f>10</f>
        <v>10</v>
      </c>
      <c r="F63" s="24">
        <f t="shared" si="0"/>
        <v>140</v>
      </c>
      <c r="G63" s="35"/>
      <c r="H63" s="36">
        <v>9.3000000000000007</v>
      </c>
    </row>
    <row r="64" spans="1:8" ht="56.25" x14ac:dyDescent="0.25">
      <c r="A64" s="43">
        <v>53</v>
      </c>
      <c r="B64" s="44">
        <v>4</v>
      </c>
      <c r="C64" s="45" t="s">
        <v>87</v>
      </c>
      <c r="D64" s="44">
        <v>400</v>
      </c>
      <c r="E64" s="44"/>
      <c r="F64" s="46">
        <f t="shared" si="0"/>
        <v>400</v>
      </c>
      <c r="G64" s="47"/>
      <c r="H64" s="48">
        <v>27</v>
      </c>
    </row>
    <row r="65" spans="1:8" ht="56.25" x14ac:dyDescent="0.25">
      <c r="A65" s="33">
        <v>54</v>
      </c>
      <c r="B65" s="34">
        <v>4</v>
      </c>
      <c r="C65" s="23" t="s">
        <v>88</v>
      </c>
      <c r="D65" s="34">
        <v>400</v>
      </c>
      <c r="E65" s="34">
        <f>5</f>
        <v>5</v>
      </c>
      <c r="F65" s="24">
        <f t="shared" si="0"/>
        <v>395</v>
      </c>
      <c r="G65" s="35" t="s">
        <v>89</v>
      </c>
      <c r="H65" s="36">
        <v>3.99</v>
      </c>
    </row>
    <row r="66" spans="1:8" ht="56.25" x14ac:dyDescent="0.25">
      <c r="A66" s="33">
        <v>55</v>
      </c>
      <c r="B66" s="34">
        <v>4</v>
      </c>
      <c r="C66" s="23" t="s">
        <v>90</v>
      </c>
      <c r="D66" s="34">
        <v>70</v>
      </c>
      <c r="E66" s="34"/>
      <c r="F66" s="24">
        <f t="shared" si="0"/>
        <v>70</v>
      </c>
      <c r="G66" s="35"/>
      <c r="H66" s="36">
        <v>4.2</v>
      </c>
    </row>
    <row r="67" spans="1:8" ht="45" x14ac:dyDescent="0.25">
      <c r="A67" s="33">
        <v>56</v>
      </c>
      <c r="B67" s="34">
        <v>4</v>
      </c>
      <c r="C67" s="23" t="s">
        <v>91</v>
      </c>
      <c r="D67" s="34">
        <v>200</v>
      </c>
      <c r="E67" s="34">
        <f>36</f>
        <v>36</v>
      </c>
      <c r="F67" s="24">
        <f t="shared" si="0"/>
        <v>164</v>
      </c>
      <c r="G67" s="35"/>
      <c r="H67" s="36">
        <v>7.2</v>
      </c>
    </row>
    <row r="68" spans="1:8" ht="45" x14ac:dyDescent="0.25">
      <c r="A68" s="33">
        <v>57</v>
      </c>
      <c r="B68" s="34">
        <v>4</v>
      </c>
      <c r="C68" s="23" t="s">
        <v>92</v>
      </c>
      <c r="D68" s="34">
        <v>100</v>
      </c>
      <c r="E68" s="34">
        <f>6</f>
        <v>6</v>
      </c>
      <c r="F68" s="24">
        <f t="shared" si="0"/>
        <v>94</v>
      </c>
      <c r="G68" s="35"/>
      <c r="H68" s="36">
        <v>5.09</v>
      </c>
    </row>
    <row r="69" spans="1:8" ht="33.75" x14ac:dyDescent="0.25">
      <c r="A69" s="33">
        <v>58</v>
      </c>
      <c r="B69" s="34">
        <v>4</v>
      </c>
      <c r="C69" s="23" t="s">
        <v>188</v>
      </c>
      <c r="D69" s="34">
        <v>300</v>
      </c>
      <c r="E69" s="34">
        <f>77</f>
        <v>77</v>
      </c>
      <c r="F69" s="24">
        <f t="shared" si="0"/>
        <v>223</v>
      </c>
      <c r="G69" s="35"/>
      <c r="H69" s="36">
        <v>24</v>
      </c>
    </row>
    <row r="70" spans="1:8" ht="33.75" x14ac:dyDescent="0.25">
      <c r="A70" s="33">
        <v>59</v>
      </c>
      <c r="B70" s="34">
        <v>6</v>
      </c>
      <c r="C70" s="23" t="s">
        <v>93</v>
      </c>
      <c r="D70" s="34">
        <v>100</v>
      </c>
      <c r="E70" s="34"/>
      <c r="F70" s="24">
        <f t="shared" si="0"/>
        <v>100</v>
      </c>
      <c r="G70" s="35"/>
      <c r="H70" s="36">
        <v>70</v>
      </c>
    </row>
    <row r="71" spans="1:8" ht="33.75" x14ac:dyDescent="0.25">
      <c r="A71" s="43">
        <v>60</v>
      </c>
      <c r="B71" s="44">
        <v>4</v>
      </c>
      <c r="C71" s="45" t="s">
        <v>94</v>
      </c>
      <c r="D71" s="44">
        <v>100</v>
      </c>
      <c r="E71" s="44"/>
      <c r="F71" s="46">
        <f t="shared" si="0"/>
        <v>100</v>
      </c>
      <c r="G71" s="47"/>
      <c r="H71" s="48">
        <v>59.66</v>
      </c>
    </row>
    <row r="72" spans="1:8" ht="67.5" x14ac:dyDescent="0.25">
      <c r="A72" s="33">
        <v>61</v>
      </c>
      <c r="B72" s="34">
        <v>4</v>
      </c>
      <c r="C72" s="23" t="s">
        <v>95</v>
      </c>
      <c r="D72" s="34">
        <v>200</v>
      </c>
      <c r="E72" s="34"/>
      <c r="F72" s="24">
        <f t="shared" si="0"/>
        <v>200</v>
      </c>
      <c r="G72" s="35">
        <f>10+50+20+15+10+5+5</f>
        <v>115</v>
      </c>
      <c r="H72" s="36">
        <v>23.2</v>
      </c>
    </row>
    <row r="73" spans="1:8" ht="67.5" x14ac:dyDescent="0.25">
      <c r="A73" s="33">
        <v>62</v>
      </c>
      <c r="B73" s="34">
        <v>9</v>
      </c>
      <c r="C73" s="23" t="s">
        <v>96</v>
      </c>
      <c r="D73" s="34">
        <v>200</v>
      </c>
      <c r="E73" s="34">
        <f>135</f>
        <v>135</v>
      </c>
      <c r="F73" s="24">
        <f t="shared" si="0"/>
        <v>65</v>
      </c>
      <c r="G73" s="35"/>
      <c r="H73" s="36">
        <v>32</v>
      </c>
    </row>
    <row r="74" spans="1:8" ht="67.5" x14ac:dyDescent="0.25">
      <c r="A74" s="33">
        <v>63</v>
      </c>
      <c r="B74" s="34">
        <v>4</v>
      </c>
      <c r="C74" s="23" t="s">
        <v>97</v>
      </c>
      <c r="D74" s="34">
        <v>100</v>
      </c>
      <c r="E74" s="34"/>
      <c r="F74" s="24">
        <f t="shared" si="0"/>
        <v>100</v>
      </c>
      <c r="G74" s="35">
        <f>20+10</f>
        <v>30</v>
      </c>
      <c r="H74" s="36">
        <v>27.08</v>
      </c>
    </row>
    <row r="75" spans="1:8" ht="56.25" x14ac:dyDescent="0.25">
      <c r="A75" s="33">
        <v>64</v>
      </c>
      <c r="B75" s="34">
        <v>4</v>
      </c>
      <c r="C75" s="23" t="s">
        <v>98</v>
      </c>
      <c r="D75" s="34">
        <v>50</v>
      </c>
      <c r="E75" s="34"/>
      <c r="F75" s="24">
        <f t="shared" si="0"/>
        <v>50</v>
      </c>
      <c r="G75" s="35">
        <f>10</f>
        <v>10</v>
      </c>
      <c r="H75" s="36">
        <v>319</v>
      </c>
    </row>
    <row r="76" spans="1:8" ht="22.5" x14ac:dyDescent="0.25">
      <c r="A76" s="33">
        <v>65</v>
      </c>
      <c r="B76" s="34">
        <v>4</v>
      </c>
      <c r="C76" s="23" t="s">
        <v>99</v>
      </c>
      <c r="D76" s="34">
        <v>50</v>
      </c>
      <c r="E76" s="34">
        <f>31</f>
        <v>31</v>
      </c>
      <c r="F76" s="24">
        <f t="shared" si="0"/>
        <v>19</v>
      </c>
      <c r="G76" s="35"/>
      <c r="H76" s="36">
        <v>14.31</v>
      </c>
    </row>
    <row r="77" spans="1:8" ht="22.5" x14ac:dyDescent="0.25">
      <c r="A77" s="33">
        <v>66</v>
      </c>
      <c r="B77" s="34">
        <v>4</v>
      </c>
      <c r="C77" s="23" t="s">
        <v>100</v>
      </c>
      <c r="D77" s="34">
        <v>50</v>
      </c>
      <c r="E77" s="34">
        <f>12</f>
        <v>12</v>
      </c>
      <c r="F77" s="24">
        <f t="shared" ref="F77:F140" si="1">SUM(D77-E77)</f>
        <v>38</v>
      </c>
      <c r="G77" s="35"/>
      <c r="H77" s="36">
        <v>24.88</v>
      </c>
    </row>
    <row r="78" spans="1:8" ht="22.5" x14ac:dyDescent="0.25">
      <c r="A78" s="33">
        <v>67</v>
      </c>
      <c r="B78" s="34">
        <v>7</v>
      </c>
      <c r="C78" s="23" t="s">
        <v>101</v>
      </c>
      <c r="D78" s="34">
        <v>50</v>
      </c>
      <c r="E78" s="34">
        <f>11</f>
        <v>11</v>
      </c>
      <c r="F78" s="24">
        <f t="shared" si="1"/>
        <v>39</v>
      </c>
      <c r="G78" s="35"/>
      <c r="H78" s="36">
        <v>9.8000000000000007</v>
      </c>
    </row>
    <row r="79" spans="1:8" ht="22.5" x14ac:dyDescent="0.25">
      <c r="A79" s="33">
        <v>68</v>
      </c>
      <c r="B79" s="34">
        <v>4</v>
      </c>
      <c r="C79" s="23" t="s">
        <v>102</v>
      </c>
      <c r="D79" s="34">
        <v>50</v>
      </c>
      <c r="E79" s="34"/>
      <c r="F79" s="24">
        <f t="shared" si="1"/>
        <v>50</v>
      </c>
      <c r="G79" s="35">
        <f>20</f>
        <v>20</v>
      </c>
      <c r="H79" s="36">
        <v>3.02</v>
      </c>
    </row>
    <row r="80" spans="1:8" ht="22.5" x14ac:dyDescent="0.25">
      <c r="A80" s="37">
        <v>69</v>
      </c>
      <c r="B80" s="38">
        <v>4</v>
      </c>
      <c r="C80" s="27" t="s">
        <v>103</v>
      </c>
      <c r="D80" s="38">
        <v>50</v>
      </c>
      <c r="E80" s="38">
        <f>50</f>
        <v>50</v>
      </c>
      <c r="F80" s="28">
        <f t="shared" si="1"/>
        <v>0</v>
      </c>
      <c r="G80" s="39"/>
      <c r="H80" s="40">
        <v>7.17</v>
      </c>
    </row>
    <row r="81" spans="1:10" ht="22.5" x14ac:dyDescent="0.25">
      <c r="A81" s="33">
        <v>70</v>
      </c>
      <c r="B81" s="34">
        <v>4</v>
      </c>
      <c r="C81" s="23" t="s">
        <v>104</v>
      </c>
      <c r="D81" s="34">
        <v>50</v>
      </c>
      <c r="E81" s="34">
        <f>46</f>
        <v>46</v>
      </c>
      <c r="F81" s="24">
        <f t="shared" si="1"/>
        <v>4</v>
      </c>
      <c r="G81" s="35"/>
      <c r="H81" s="36">
        <v>5.3</v>
      </c>
    </row>
    <row r="82" spans="1:10" ht="22.5" x14ac:dyDescent="0.25">
      <c r="A82" s="33">
        <v>71</v>
      </c>
      <c r="B82" s="34">
        <v>4</v>
      </c>
      <c r="C82" s="23" t="s">
        <v>105</v>
      </c>
      <c r="D82" s="34">
        <v>50</v>
      </c>
      <c r="E82" s="34"/>
      <c r="F82" s="24">
        <f t="shared" si="1"/>
        <v>50</v>
      </c>
      <c r="G82" s="35"/>
      <c r="H82" s="36">
        <v>4.95</v>
      </c>
    </row>
    <row r="83" spans="1:10" ht="45" x14ac:dyDescent="0.25">
      <c r="A83" s="37">
        <v>72</v>
      </c>
      <c r="B83" s="38">
        <v>4</v>
      </c>
      <c r="C83" s="27" t="s">
        <v>106</v>
      </c>
      <c r="D83" s="38">
        <v>60</v>
      </c>
      <c r="E83" s="38"/>
      <c r="F83" s="28">
        <f t="shared" si="1"/>
        <v>60</v>
      </c>
      <c r="G83" s="39">
        <f>10+10+3+50</f>
        <v>73</v>
      </c>
      <c r="H83" s="40">
        <v>19.399999999999999</v>
      </c>
    </row>
    <row r="84" spans="1:10" ht="101.25" x14ac:dyDescent="0.25">
      <c r="A84" s="33">
        <v>73</v>
      </c>
      <c r="B84" s="34">
        <v>8</v>
      </c>
      <c r="C84" s="23" t="s">
        <v>107</v>
      </c>
      <c r="D84" s="34">
        <v>150</v>
      </c>
      <c r="E84" s="34"/>
      <c r="F84" s="24">
        <f t="shared" si="1"/>
        <v>150</v>
      </c>
      <c r="G84" s="35"/>
      <c r="H84" s="36">
        <v>240</v>
      </c>
    </row>
    <row r="85" spans="1:10" ht="33.75" x14ac:dyDescent="0.25">
      <c r="A85" s="33">
        <v>74</v>
      </c>
      <c r="B85" s="34">
        <v>4</v>
      </c>
      <c r="C85" s="23" t="s">
        <v>108</v>
      </c>
      <c r="D85" s="34">
        <v>130</v>
      </c>
      <c r="E85" s="34"/>
      <c r="F85" s="24">
        <f t="shared" si="1"/>
        <v>130</v>
      </c>
      <c r="G85" s="35">
        <f>5+10+6</f>
        <v>21</v>
      </c>
      <c r="H85" s="36">
        <v>9.33</v>
      </c>
    </row>
    <row r="86" spans="1:10" ht="56.25" x14ac:dyDescent="0.25">
      <c r="A86" s="33">
        <v>75</v>
      </c>
      <c r="B86" s="34">
        <v>4</v>
      </c>
      <c r="C86" s="23" t="s">
        <v>109</v>
      </c>
      <c r="D86" s="34">
        <v>150</v>
      </c>
      <c r="E86" s="34"/>
      <c r="F86" s="24">
        <f t="shared" si="1"/>
        <v>150</v>
      </c>
      <c r="G86" s="35">
        <f>4+6+1</f>
        <v>11</v>
      </c>
      <c r="H86" s="36">
        <v>21</v>
      </c>
    </row>
    <row r="87" spans="1:10" ht="56.25" x14ac:dyDescent="0.25">
      <c r="A87" s="33">
        <v>76</v>
      </c>
      <c r="B87" s="34">
        <v>4</v>
      </c>
      <c r="C87" s="23" t="s">
        <v>189</v>
      </c>
      <c r="D87" s="34">
        <v>20</v>
      </c>
      <c r="E87" s="34"/>
      <c r="F87" s="24">
        <f t="shared" si="1"/>
        <v>20</v>
      </c>
      <c r="G87" s="35">
        <f>2</f>
        <v>2</v>
      </c>
      <c r="H87" s="36">
        <v>25.12</v>
      </c>
    </row>
    <row r="88" spans="1:10" ht="33.75" x14ac:dyDescent="0.25">
      <c r="A88" s="33">
        <v>77</v>
      </c>
      <c r="B88" s="34">
        <v>7</v>
      </c>
      <c r="C88" s="23" t="s">
        <v>110</v>
      </c>
      <c r="D88" s="34">
        <v>200</v>
      </c>
      <c r="E88" s="34">
        <f>13</f>
        <v>13</v>
      </c>
      <c r="F88" s="24">
        <f t="shared" si="1"/>
        <v>187</v>
      </c>
      <c r="G88" s="35"/>
      <c r="H88" s="36">
        <v>29.74</v>
      </c>
    </row>
    <row r="89" spans="1:10" ht="33.75" x14ac:dyDescent="0.25">
      <c r="A89" s="33">
        <v>78</v>
      </c>
      <c r="B89" s="34">
        <v>4</v>
      </c>
      <c r="C89" s="23" t="s">
        <v>111</v>
      </c>
      <c r="D89" s="34">
        <v>200</v>
      </c>
      <c r="E89" s="34"/>
      <c r="F89" s="24">
        <f t="shared" si="1"/>
        <v>200</v>
      </c>
      <c r="G89" s="35">
        <f>3+6+2+4</f>
        <v>15</v>
      </c>
      <c r="H89" s="36">
        <v>28.2</v>
      </c>
    </row>
    <row r="90" spans="1:10" ht="33.75" x14ac:dyDescent="0.25">
      <c r="A90" s="37">
        <v>79</v>
      </c>
      <c r="B90" s="38">
        <v>4</v>
      </c>
      <c r="C90" s="27" t="s">
        <v>190</v>
      </c>
      <c r="D90" s="38">
        <v>20</v>
      </c>
      <c r="E90" s="38"/>
      <c r="F90" s="28">
        <f t="shared" si="1"/>
        <v>20</v>
      </c>
      <c r="G90" s="39">
        <f>2+4+30+10+15+5</f>
        <v>66</v>
      </c>
      <c r="H90" s="40">
        <v>5.2</v>
      </c>
      <c r="J90" t="str">
        <f>LOWER(C90)</f>
        <v>conjunto escova, aplicação limpeza de vidraria de laboratório</v>
      </c>
    </row>
    <row r="91" spans="1:10" ht="22.5" x14ac:dyDescent="0.25">
      <c r="A91" s="33">
        <v>80</v>
      </c>
      <c r="B91" s="34">
        <v>4</v>
      </c>
      <c r="C91" s="23" t="s">
        <v>112</v>
      </c>
      <c r="D91" s="34">
        <v>100</v>
      </c>
      <c r="E91" s="34"/>
      <c r="F91" s="24">
        <f t="shared" si="1"/>
        <v>100</v>
      </c>
      <c r="G91" s="35">
        <f>3+5+20+2+5</f>
        <v>35</v>
      </c>
      <c r="H91" s="36">
        <v>10.96</v>
      </c>
    </row>
    <row r="92" spans="1:10" ht="22.5" x14ac:dyDescent="0.25">
      <c r="A92" s="33">
        <v>81</v>
      </c>
      <c r="B92" s="34">
        <v>4</v>
      </c>
      <c r="C92" s="23" t="s">
        <v>113</v>
      </c>
      <c r="D92" s="34">
        <v>200</v>
      </c>
      <c r="E92" s="34"/>
      <c r="F92" s="24">
        <f t="shared" si="1"/>
        <v>200</v>
      </c>
      <c r="G92" s="35">
        <f>5+20+4+5+30+30+5</f>
        <v>99</v>
      </c>
      <c r="H92" s="36">
        <v>9.85</v>
      </c>
    </row>
    <row r="93" spans="1:10" ht="22.5" x14ac:dyDescent="0.25">
      <c r="A93" s="33">
        <v>82</v>
      </c>
      <c r="B93" s="34">
        <v>4</v>
      </c>
      <c r="C93" s="23" t="s">
        <v>114</v>
      </c>
      <c r="D93" s="34">
        <v>200</v>
      </c>
      <c r="E93" s="34"/>
      <c r="F93" s="24">
        <f t="shared" si="1"/>
        <v>200</v>
      </c>
      <c r="G93" s="35">
        <f>100+1+10+30+35</f>
        <v>176</v>
      </c>
      <c r="H93" s="36">
        <v>2.41</v>
      </c>
    </row>
    <row r="94" spans="1:10" ht="22.5" x14ac:dyDescent="0.25">
      <c r="A94" s="37">
        <v>83</v>
      </c>
      <c r="B94" s="38">
        <v>4</v>
      </c>
      <c r="C94" s="27" t="s">
        <v>115</v>
      </c>
      <c r="D94" s="38">
        <v>200</v>
      </c>
      <c r="E94" s="38"/>
      <c r="F94" s="28">
        <f t="shared" si="1"/>
        <v>200</v>
      </c>
      <c r="G94" s="39">
        <f>150+1+10+30+50+25</f>
        <v>266</v>
      </c>
      <c r="H94" s="100">
        <v>2.8580000000000001</v>
      </c>
    </row>
    <row r="95" spans="1:10" ht="22.5" x14ac:dyDescent="0.25">
      <c r="A95" s="37">
        <v>84</v>
      </c>
      <c r="B95" s="38">
        <v>4</v>
      </c>
      <c r="C95" s="27" t="s">
        <v>116</v>
      </c>
      <c r="D95" s="38">
        <v>200</v>
      </c>
      <c r="E95" s="38"/>
      <c r="F95" s="28">
        <f t="shared" si="1"/>
        <v>200</v>
      </c>
      <c r="G95" s="39">
        <f>150+20+10+30+35+25</f>
        <v>270</v>
      </c>
      <c r="H95" s="40">
        <v>5.43</v>
      </c>
    </row>
    <row r="96" spans="1:10" ht="22.5" x14ac:dyDescent="0.25">
      <c r="A96" s="33">
        <v>85</v>
      </c>
      <c r="B96" s="34">
        <v>4</v>
      </c>
      <c r="C96" s="23" t="s">
        <v>117</v>
      </c>
      <c r="D96" s="34">
        <v>300</v>
      </c>
      <c r="E96" s="34"/>
      <c r="F96" s="24">
        <f t="shared" si="1"/>
        <v>300</v>
      </c>
      <c r="G96" s="35">
        <f>10+150+1+10+40+25</f>
        <v>236</v>
      </c>
      <c r="H96" s="36">
        <v>3.93</v>
      </c>
    </row>
    <row r="97" spans="1:8" ht="45" x14ac:dyDescent="0.25">
      <c r="A97" s="33">
        <v>86</v>
      </c>
      <c r="B97" s="34">
        <v>4</v>
      </c>
      <c r="C97" s="23" t="s">
        <v>118</v>
      </c>
      <c r="D97" s="34">
        <v>200</v>
      </c>
      <c r="E97" s="34"/>
      <c r="F97" s="24">
        <f t="shared" si="1"/>
        <v>200</v>
      </c>
      <c r="G97" s="35">
        <f>4</f>
        <v>4</v>
      </c>
      <c r="H97" s="36">
        <v>9</v>
      </c>
    </row>
    <row r="98" spans="1:8" ht="45" x14ac:dyDescent="0.25">
      <c r="A98" s="33">
        <v>87</v>
      </c>
      <c r="B98" s="34">
        <v>7</v>
      </c>
      <c r="C98" s="23" t="s">
        <v>119</v>
      </c>
      <c r="D98" s="34">
        <v>200</v>
      </c>
      <c r="E98" s="34">
        <f>60</f>
        <v>60</v>
      </c>
      <c r="F98" s="24">
        <f t="shared" si="1"/>
        <v>140</v>
      </c>
      <c r="G98" s="35"/>
      <c r="H98" s="36">
        <v>7.29</v>
      </c>
    </row>
    <row r="99" spans="1:8" ht="45" x14ac:dyDescent="0.25">
      <c r="A99" s="33">
        <v>88</v>
      </c>
      <c r="B99" s="34">
        <v>4</v>
      </c>
      <c r="C99" s="23" t="s">
        <v>120</v>
      </c>
      <c r="D99" s="34">
        <v>200</v>
      </c>
      <c r="E99" s="34"/>
      <c r="F99" s="24">
        <f t="shared" si="1"/>
        <v>200</v>
      </c>
      <c r="G99" s="35">
        <f>20+40+50</f>
        <v>110</v>
      </c>
      <c r="H99" s="36">
        <v>4.42</v>
      </c>
    </row>
    <row r="100" spans="1:8" ht="33.75" x14ac:dyDescent="0.25">
      <c r="A100" s="33">
        <v>89</v>
      </c>
      <c r="B100" s="34">
        <v>4</v>
      </c>
      <c r="C100" s="23" t="s">
        <v>121</v>
      </c>
      <c r="D100" s="34">
        <v>100</v>
      </c>
      <c r="E100" s="34"/>
      <c r="F100" s="24">
        <f t="shared" si="1"/>
        <v>100</v>
      </c>
      <c r="G100" s="35">
        <f>20+15+5+12</f>
        <v>52</v>
      </c>
      <c r="H100" s="36">
        <v>9.9</v>
      </c>
    </row>
    <row r="101" spans="1:8" ht="56.25" x14ac:dyDescent="0.25">
      <c r="A101" s="33">
        <v>90</v>
      </c>
      <c r="B101" s="34">
        <v>4</v>
      </c>
      <c r="C101" s="23" t="s">
        <v>122</v>
      </c>
      <c r="D101" s="34">
        <v>50</v>
      </c>
      <c r="E101" s="34"/>
      <c r="F101" s="24">
        <f t="shared" si="1"/>
        <v>50</v>
      </c>
      <c r="G101" s="35">
        <f>5+14</f>
        <v>19</v>
      </c>
      <c r="H101" s="36">
        <v>6</v>
      </c>
    </row>
    <row r="102" spans="1:8" ht="56.25" x14ac:dyDescent="0.25">
      <c r="A102" s="33">
        <v>91</v>
      </c>
      <c r="B102" s="34">
        <v>4</v>
      </c>
      <c r="C102" s="23" t="s">
        <v>123</v>
      </c>
      <c r="D102" s="34">
        <v>50</v>
      </c>
      <c r="E102" s="34"/>
      <c r="F102" s="24">
        <f t="shared" si="1"/>
        <v>50</v>
      </c>
      <c r="G102" s="35">
        <f>10</f>
        <v>10</v>
      </c>
      <c r="H102" s="36">
        <v>4.1500000000000004</v>
      </c>
    </row>
    <row r="103" spans="1:8" ht="45" x14ac:dyDescent="0.25">
      <c r="A103" s="33">
        <v>92</v>
      </c>
      <c r="B103" s="34">
        <v>7</v>
      </c>
      <c r="C103" s="23" t="s">
        <v>124</v>
      </c>
      <c r="D103" s="34">
        <v>200</v>
      </c>
      <c r="E103" s="34">
        <f>25</f>
        <v>25</v>
      </c>
      <c r="F103" s="24">
        <f t="shared" si="1"/>
        <v>175</v>
      </c>
      <c r="G103" s="35"/>
      <c r="H103" s="36">
        <v>5.7</v>
      </c>
    </row>
    <row r="104" spans="1:8" ht="45" x14ac:dyDescent="0.25">
      <c r="A104" s="33">
        <v>93</v>
      </c>
      <c r="B104" s="34">
        <v>4</v>
      </c>
      <c r="C104" s="23" t="s">
        <v>125</v>
      </c>
      <c r="D104" s="34">
        <v>100</v>
      </c>
      <c r="E104" s="34"/>
      <c r="F104" s="24">
        <f t="shared" si="1"/>
        <v>100</v>
      </c>
      <c r="G104" s="35">
        <f>40</f>
        <v>40</v>
      </c>
      <c r="H104" s="36">
        <v>9.15</v>
      </c>
    </row>
    <row r="105" spans="1:8" ht="56.25" x14ac:dyDescent="0.25">
      <c r="A105" s="33">
        <v>94</v>
      </c>
      <c r="B105" s="34">
        <v>4</v>
      </c>
      <c r="C105" s="23" t="s">
        <v>126</v>
      </c>
      <c r="D105" s="34">
        <v>400</v>
      </c>
      <c r="E105" s="34"/>
      <c r="F105" s="24">
        <f t="shared" si="1"/>
        <v>400</v>
      </c>
      <c r="G105" s="35">
        <f>40+20</f>
        <v>60</v>
      </c>
      <c r="H105" s="36">
        <v>8</v>
      </c>
    </row>
    <row r="106" spans="1:8" ht="45" x14ac:dyDescent="0.25">
      <c r="A106" s="33">
        <v>95</v>
      </c>
      <c r="B106" s="34">
        <v>4</v>
      </c>
      <c r="C106" s="23" t="s">
        <v>127</v>
      </c>
      <c r="D106" s="34">
        <v>400</v>
      </c>
      <c r="E106" s="34"/>
      <c r="F106" s="24">
        <f t="shared" si="1"/>
        <v>400</v>
      </c>
      <c r="G106" s="35">
        <f>2+40+10</f>
        <v>52</v>
      </c>
      <c r="H106" s="36">
        <v>3.23</v>
      </c>
    </row>
    <row r="107" spans="1:8" ht="45" x14ac:dyDescent="0.25">
      <c r="A107" s="33">
        <v>96</v>
      </c>
      <c r="B107" s="34">
        <v>4</v>
      </c>
      <c r="C107" s="23" t="s">
        <v>128</v>
      </c>
      <c r="D107" s="34">
        <v>100</v>
      </c>
      <c r="E107" s="34"/>
      <c r="F107" s="24">
        <f t="shared" si="1"/>
        <v>100</v>
      </c>
      <c r="G107" s="35">
        <f>10</f>
        <v>10</v>
      </c>
      <c r="H107" s="36">
        <v>4.3499999999999996</v>
      </c>
    </row>
    <row r="108" spans="1:8" ht="45" x14ac:dyDescent="0.25">
      <c r="A108" s="33">
        <v>97</v>
      </c>
      <c r="B108" s="34">
        <v>4</v>
      </c>
      <c r="C108" s="23" t="s">
        <v>129</v>
      </c>
      <c r="D108" s="34">
        <v>300</v>
      </c>
      <c r="E108" s="34"/>
      <c r="F108" s="24">
        <f t="shared" si="1"/>
        <v>300</v>
      </c>
      <c r="G108" s="35">
        <f>10+10+10</f>
        <v>30</v>
      </c>
      <c r="H108" s="36">
        <v>4.66</v>
      </c>
    </row>
    <row r="109" spans="1:8" ht="45" x14ac:dyDescent="0.25">
      <c r="A109" s="33">
        <v>98</v>
      </c>
      <c r="B109" s="34">
        <v>4</v>
      </c>
      <c r="C109" s="23" t="s">
        <v>92</v>
      </c>
      <c r="D109" s="34">
        <v>200</v>
      </c>
      <c r="E109" s="34"/>
      <c r="F109" s="24">
        <f t="shared" si="1"/>
        <v>200</v>
      </c>
      <c r="G109" s="35">
        <v>15</v>
      </c>
      <c r="H109" s="36">
        <v>4.87</v>
      </c>
    </row>
    <row r="110" spans="1:8" ht="33.75" x14ac:dyDescent="0.25">
      <c r="A110" s="33">
        <v>99</v>
      </c>
      <c r="B110" s="34">
        <v>4</v>
      </c>
      <c r="C110" s="23" t="s">
        <v>130</v>
      </c>
      <c r="D110" s="34">
        <v>200</v>
      </c>
      <c r="E110" s="34"/>
      <c r="F110" s="24">
        <f t="shared" si="1"/>
        <v>200</v>
      </c>
      <c r="G110" s="35">
        <f>4+5+3+10+5</f>
        <v>27</v>
      </c>
      <c r="H110" s="36">
        <v>8.1</v>
      </c>
    </row>
    <row r="111" spans="1:8" ht="33.75" x14ac:dyDescent="0.25">
      <c r="A111" s="33">
        <v>100</v>
      </c>
      <c r="B111" s="34">
        <v>9</v>
      </c>
      <c r="C111" s="23" t="s">
        <v>131</v>
      </c>
      <c r="D111" s="34">
        <v>200</v>
      </c>
      <c r="E111" s="34">
        <f>21</f>
        <v>21</v>
      </c>
      <c r="F111" s="24">
        <f t="shared" si="1"/>
        <v>179</v>
      </c>
      <c r="G111" s="35"/>
      <c r="H111" s="36">
        <v>3.52</v>
      </c>
    </row>
    <row r="112" spans="1:8" ht="45" x14ac:dyDescent="0.25">
      <c r="A112" s="33">
        <v>101</v>
      </c>
      <c r="B112" s="34">
        <v>4</v>
      </c>
      <c r="C112" s="23" t="s">
        <v>132</v>
      </c>
      <c r="D112" s="34">
        <v>200</v>
      </c>
      <c r="E112" s="34"/>
      <c r="F112" s="24">
        <f t="shared" si="1"/>
        <v>200</v>
      </c>
      <c r="G112" s="35">
        <f>1</f>
        <v>1</v>
      </c>
      <c r="H112" s="36">
        <v>7</v>
      </c>
    </row>
    <row r="113" spans="1:8" ht="45" x14ac:dyDescent="0.25">
      <c r="A113" s="33">
        <v>102</v>
      </c>
      <c r="B113" s="34">
        <v>4</v>
      </c>
      <c r="C113" s="23" t="s">
        <v>133</v>
      </c>
      <c r="D113" s="34">
        <v>100</v>
      </c>
      <c r="E113" s="34"/>
      <c r="F113" s="24">
        <f t="shared" si="1"/>
        <v>100</v>
      </c>
      <c r="G113" s="35">
        <f>5+10</f>
        <v>15</v>
      </c>
      <c r="H113" s="36">
        <v>10</v>
      </c>
    </row>
    <row r="114" spans="1:8" ht="45" x14ac:dyDescent="0.25">
      <c r="A114" s="33">
        <v>103</v>
      </c>
      <c r="B114" s="34">
        <v>4</v>
      </c>
      <c r="C114" s="23" t="s">
        <v>134</v>
      </c>
      <c r="D114" s="34">
        <v>200</v>
      </c>
      <c r="E114" s="34"/>
      <c r="F114" s="24">
        <f t="shared" si="1"/>
        <v>200</v>
      </c>
      <c r="G114" s="35">
        <f>6+20</f>
        <v>26</v>
      </c>
      <c r="H114" s="36">
        <v>4.12</v>
      </c>
    </row>
    <row r="115" spans="1:8" ht="33.75" x14ac:dyDescent="0.25">
      <c r="A115" s="33">
        <v>104</v>
      </c>
      <c r="B115" s="34">
        <v>4</v>
      </c>
      <c r="C115" s="23" t="s">
        <v>135</v>
      </c>
      <c r="D115" s="34">
        <v>200</v>
      </c>
      <c r="E115" s="34"/>
      <c r="F115" s="24">
        <f t="shared" si="1"/>
        <v>200</v>
      </c>
      <c r="G115" s="35">
        <f>4+5+30</f>
        <v>39</v>
      </c>
      <c r="H115" s="36">
        <v>2.15</v>
      </c>
    </row>
    <row r="116" spans="1:8" ht="33.75" x14ac:dyDescent="0.25">
      <c r="A116" s="33">
        <v>105</v>
      </c>
      <c r="B116" s="34">
        <v>6</v>
      </c>
      <c r="C116" s="23" t="s">
        <v>136</v>
      </c>
      <c r="D116" s="34">
        <v>100</v>
      </c>
      <c r="E116" s="34">
        <f>47</f>
        <v>47</v>
      </c>
      <c r="F116" s="24">
        <f t="shared" si="1"/>
        <v>53</v>
      </c>
      <c r="G116" s="35"/>
      <c r="H116" s="36">
        <v>7.19</v>
      </c>
    </row>
    <row r="117" spans="1:8" ht="33.75" x14ac:dyDescent="0.25">
      <c r="A117" s="33">
        <v>106</v>
      </c>
      <c r="B117" s="34">
        <v>4</v>
      </c>
      <c r="C117" s="23" t="s">
        <v>137</v>
      </c>
      <c r="D117" s="34">
        <v>200</v>
      </c>
      <c r="E117" s="34"/>
      <c r="F117" s="24">
        <f t="shared" si="1"/>
        <v>200</v>
      </c>
      <c r="G117" s="35">
        <f>40+20</f>
        <v>60</v>
      </c>
      <c r="H117" s="36">
        <v>7.5</v>
      </c>
    </row>
    <row r="118" spans="1:8" ht="33.75" x14ac:dyDescent="0.25">
      <c r="A118" s="33">
        <v>107</v>
      </c>
      <c r="B118" s="34">
        <v>4</v>
      </c>
      <c r="C118" s="23" t="s">
        <v>138</v>
      </c>
      <c r="D118" s="34">
        <v>200</v>
      </c>
      <c r="E118" s="34"/>
      <c r="F118" s="24">
        <f t="shared" si="1"/>
        <v>200</v>
      </c>
      <c r="G118" s="35">
        <f>40+20</f>
        <v>60</v>
      </c>
      <c r="H118" s="36">
        <v>4.9000000000000004</v>
      </c>
    </row>
    <row r="119" spans="1:8" ht="33.75" x14ac:dyDescent="0.25">
      <c r="A119" s="33">
        <v>108</v>
      </c>
      <c r="B119" s="34">
        <v>4</v>
      </c>
      <c r="C119" s="23" t="s">
        <v>139</v>
      </c>
      <c r="D119" s="34">
        <v>100</v>
      </c>
      <c r="E119" s="34"/>
      <c r="F119" s="24">
        <f t="shared" si="1"/>
        <v>100</v>
      </c>
      <c r="G119" s="35">
        <f>2+40+4</f>
        <v>46</v>
      </c>
      <c r="H119" s="36">
        <v>6.49</v>
      </c>
    </row>
    <row r="120" spans="1:8" ht="56.25" x14ac:dyDescent="0.25">
      <c r="A120" s="33">
        <v>109</v>
      </c>
      <c r="B120" s="34">
        <v>4</v>
      </c>
      <c r="C120" s="23" t="s">
        <v>140</v>
      </c>
      <c r="D120" s="34">
        <v>100</v>
      </c>
      <c r="E120" s="34"/>
      <c r="F120" s="24">
        <f t="shared" si="1"/>
        <v>100</v>
      </c>
      <c r="G120" s="35">
        <f>2+1+5+2</f>
        <v>10</v>
      </c>
      <c r="H120" s="36">
        <v>39</v>
      </c>
    </row>
    <row r="121" spans="1:8" ht="90" x14ac:dyDescent="0.25">
      <c r="A121" s="37">
        <v>110</v>
      </c>
      <c r="B121" s="38">
        <v>4</v>
      </c>
      <c r="C121" s="27" t="s">
        <v>141</v>
      </c>
      <c r="D121" s="38">
        <v>10</v>
      </c>
      <c r="E121" s="38"/>
      <c r="F121" s="28">
        <f t="shared" si="1"/>
        <v>10</v>
      </c>
      <c r="G121" s="39">
        <f>5+6</f>
        <v>11</v>
      </c>
      <c r="H121" s="40">
        <v>114.99</v>
      </c>
    </row>
    <row r="122" spans="1:8" ht="90" x14ac:dyDescent="0.25">
      <c r="A122" s="33">
        <v>111</v>
      </c>
      <c r="B122" s="34">
        <v>4</v>
      </c>
      <c r="C122" s="23" t="s">
        <v>142</v>
      </c>
      <c r="D122" s="34">
        <v>100</v>
      </c>
      <c r="E122" s="34"/>
      <c r="F122" s="24">
        <f t="shared" si="1"/>
        <v>100</v>
      </c>
      <c r="G122" s="35">
        <f>10+20+2</f>
        <v>32</v>
      </c>
      <c r="H122" s="36">
        <v>17.95</v>
      </c>
    </row>
    <row r="123" spans="1:8" ht="33.75" x14ac:dyDescent="0.25">
      <c r="A123" s="33">
        <v>112</v>
      </c>
      <c r="B123" s="34">
        <v>4</v>
      </c>
      <c r="C123" s="23" t="s">
        <v>143</v>
      </c>
      <c r="D123" s="34">
        <v>100</v>
      </c>
      <c r="E123" s="34"/>
      <c r="F123" s="24">
        <f t="shared" si="1"/>
        <v>100</v>
      </c>
      <c r="G123" s="35">
        <f>1+2</f>
        <v>3</v>
      </c>
      <c r="H123" s="36">
        <v>335</v>
      </c>
    </row>
    <row r="124" spans="1:8" ht="67.5" x14ac:dyDescent="0.25">
      <c r="A124" s="33">
        <v>113</v>
      </c>
      <c r="B124" s="34">
        <v>4</v>
      </c>
      <c r="C124" s="23" t="s">
        <v>144</v>
      </c>
      <c r="D124" s="34">
        <v>100</v>
      </c>
      <c r="E124" s="34"/>
      <c r="F124" s="24">
        <f t="shared" si="1"/>
        <v>100</v>
      </c>
      <c r="G124" s="35">
        <f>1</f>
        <v>1</v>
      </c>
      <c r="H124" s="36">
        <v>389</v>
      </c>
    </row>
    <row r="125" spans="1:8" ht="67.5" x14ac:dyDescent="0.25">
      <c r="A125" s="33">
        <v>114</v>
      </c>
      <c r="B125" s="34">
        <v>4</v>
      </c>
      <c r="C125" s="23" t="s">
        <v>145</v>
      </c>
      <c r="D125" s="34">
        <v>100</v>
      </c>
      <c r="E125" s="34"/>
      <c r="F125" s="24">
        <f t="shared" si="1"/>
        <v>100</v>
      </c>
      <c r="G125" s="35">
        <f>2+2</f>
        <v>4</v>
      </c>
      <c r="H125" s="36">
        <v>443.39</v>
      </c>
    </row>
    <row r="126" spans="1:8" ht="67.5" x14ac:dyDescent="0.25">
      <c r="A126" s="33">
        <v>115</v>
      </c>
      <c r="B126" s="34">
        <v>4</v>
      </c>
      <c r="C126" s="23" t="s">
        <v>146</v>
      </c>
      <c r="D126" s="34">
        <v>100</v>
      </c>
      <c r="E126" s="34"/>
      <c r="F126" s="24">
        <f t="shared" si="1"/>
        <v>100</v>
      </c>
      <c r="G126" s="35">
        <f>1+2+2+2</f>
        <v>7</v>
      </c>
      <c r="H126" s="36">
        <v>389</v>
      </c>
    </row>
    <row r="127" spans="1:8" ht="33.75" x14ac:dyDescent="0.25">
      <c r="A127" s="33">
        <v>116</v>
      </c>
      <c r="B127" s="34">
        <v>4</v>
      </c>
      <c r="C127" s="23" t="s">
        <v>147</v>
      </c>
      <c r="D127" s="34">
        <v>250</v>
      </c>
      <c r="E127" s="34"/>
      <c r="F127" s="24">
        <f t="shared" si="1"/>
        <v>250</v>
      </c>
      <c r="G127" s="35">
        <f>20+4</f>
        <v>24</v>
      </c>
      <c r="H127" s="36">
        <v>4.84</v>
      </c>
    </row>
    <row r="128" spans="1:8" ht="33.75" x14ac:dyDescent="0.25">
      <c r="A128" s="33">
        <v>117</v>
      </c>
      <c r="B128" s="34">
        <v>4</v>
      </c>
      <c r="C128" s="23" t="s">
        <v>148</v>
      </c>
      <c r="D128" s="34">
        <v>250</v>
      </c>
      <c r="E128" s="34"/>
      <c r="F128" s="24">
        <f t="shared" si="1"/>
        <v>250</v>
      </c>
      <c r="G128" s="35">
        <f>20+5+4</f>
        <v>29</v>
      </c>
      <c r="H128" s="36">
        <v>2.3199999999999998</v>
      </c>
    </row>
    <row r="129" spans="1:8" ht="45" x14ac:dyDescent="0.25">
      <c r="A129" s="33">
        <v>118</v>
      </c>
      <c r="B129" s="34">
        <v>4</v>
      </c>
      <c r="C129" s="23" t="s">
        <v>149</v>
      </c>
      <c r="D129" s="34">
        <v>50</v>
      </c>
      <c r="E129" s="34"/>
      <c r="F129" s="24">
        <f t="shared" si="1"/>
        <v>50</v>
      </c>
      <c r="G129" s="35">
        <f>5+2+10</f>
        <v>17</v>
      </c>
      <c r="H129" s="36">
        <v>102</v>
      </c>
    </row>
    <row r="130" spans="1:8" ht="67.5" x14ac:dyDescent="0.25">
      <c r="A130" s="33">
        <v>119</v>
      </c>
      <c r="B130" s="34">
        <v>6</v>
      </c>
      <c r="C130" s="23" t="s">
        <v>150</v>
      </c>
      <c r="D130" s="34">
        <v>150</v>
      </c>
      <c r="E130" s="34">
        <f>7</f>
        <v>7</v>
      </c>
      <c r="F130" s="24">
        <f t="shared" si="1"/>
        <v>143</v>
      </c>
      <c r="G130" s="35"/>
      <c r="H130" s="36">
        <v>204.99</v>
      </c>
    </row>
    <row r="131" spans="1:8" ht="101.25" x14ac:dyDescent="0.25">
      <c r="A131" s="33">
        <v>120</v>
      </c>
      <c r="B131" s="34">
        <v>4</v>
      </c>
      <c r="C131" s="23" t="s">
        <v>151</v>
      </c>
      <c r="D131" s="49">
        <v>1000</v>
      </c>
      <c r="E131" s="34"/>
      <c r="F131" s="24">
        <f t="shared" si="1"/>
        <v>1000</v>
      </c>
      <c r="G131" s="35">
        <f>3+100+1+1+40</f>
        <v>145</v>
      </c>
      <c r="H131" s="36">
        <v>2.2000000000000002</v>
      </c>
    </row>
    <row r="132" spans="1:8" ht="67.5" x14ac:dyDescent="0.25">
      <c r="A132" s="33">
        <v>121</v>
      </c>
      <c r="B132" s="34">
        <v>9</v>
      </c>
      <c r="C132" s="23" t="s">
        <v>152</v>
      </c>
      <c r="D132" s="49">
        <v>1000</v>
      </c>
      <c r="E132" s="34">
        <f>107</f>
        <v>107</v>
      </c>
      <c r="F132" s="24">
        <f t="shared" si="1"/>
        <v>893</v>
      </c>
      <c r="G132" s="35"/>
      <c r="H132" s="36">
        <v>3.12</v>
      </c>
    </row>
    <row r="133" spans="1:8" ht="67.5" x14ac:dyDescent="0.25">
      <c r="A133" s="33">
        <v>122</v>
      </c>
      <c r="B133" s="34">
        <v>4</v>
      </c>
      <c r="C133" s="23" t="s">
        <v>191</v>
      </c>
      <c r="D133" s="49">
        <v>1000</v>
      </c>
      <c r="E133" s="34"/>
      <c r="F133" s="24">
        <f t="shared" si="1"/>
        <v>1000</v>
      </c>
      <c r="G133" s="35">
        <f>3+100+1+40+3+2</f>
        <v>149</v>
      </c>
      <c r="H133" s="36">
        <v>2.78</v>
      </c>
    </row>
    <row r="134" spans="1:8" ht="67.5" x14ac:dyDescent="0.25">
      <c r="A134" s="33">
        <v>123</v>
      </c>
      <c r="B134" s="34">
        <v>4</v>
      </c>
      <c r="C134" s="23" t="s">
        <v>192</v>
      </c>
      <c r="D134" s="49">
        <v>1000</v>
      </c>
      <c r="E134" s="34"/>
      <c r="F134" s="24">
        <f t="shared" si="1"/>
        <v>1000</v>
      </c>
      <c r="G134" s="35">
        <f>3+1+1+40+2</f>
        <v>47</v>
      </c>
      <c r="H134" s="36">
        <v>3.68</v>
      </c>
    </row>
    <row r="135" spans="1:8" ht="67.5" x14ac:dyDescent="0.25">
      <c r="A135" s="33">
        <v>124</v>
      </c>
      <c r="B135" s="34">
        <v>4</v>
      </c>
      <c r="C135" s="23" t="s">
        <v>153</v>
      </c>
      <c r="D135" s="49">
        <v>1000</v>
      </c>
      <c r="E135" s="34"/>
      <c r="F135" s="24">
        <f t="shared" si="1"/>
        <v>1000</v>
      </c>
      <c r="G135" s="35">
        <f>1+5+40+9</f>
        <v>55</v>
      </c>
      <c r="H135" s="36">
        <v>5.99</v>
      </c>
    </row>
    <row r="136" spans="1:8" ht="67.5" x14ac:dyDescent="0.25">
      <c r="A136" s="33">
        <v>125</v>
      </c>
      <c r="B136" s="34">
        <v>4</v>
      </c>
      <c r="C136" s="23" t="s">
        <v>154</v>
      </c>
      <c r="D136" s="49">
        <v>1000</v>
      </c>
      <c r="E136" s="34"/>
      <c r="F136" s="24">
        <f t="shared" si="1"/>
        <v>1000</v>
      </c>
      <c r="G136" s="35">
        <f>1+40+8</f>
        <v>49</v>
      </c>
      <c r="H136" s="36">
        <v>5.2</v>
      </c>
    </row>
    <row r="137" spans="1:8" ht="67.5" x14ac:dyDescent="0.25">
      <c r="A137" s="33">
        <v>126</v>
      </c>
      <c r="B137" s="34">
        <v>4</v>
      </c>
      <c r="C137" s="23" t="s">
        <v>155</v>
      </c>
      <c r="D137" s="49">
        <v>1000</v>
      </c>
      <c r="E137" s="34"/>
      <c r="F137" s="24">
        <f t="shared" si="1"/>
        <v>1000</v>
      </c>
      <c r="G137" s="35">
        <f>5+40+5</f>
        <v>50</v>
      </c>
      <c r="H137" s="36">
        <v>8.2899999999999991</v>
      </c>
    </row>
    <row r="138" spans="1:8" ht="67.5" x14ac:dyDescent="0.25">
      <c r="A138" s="50">
        <v>127</v>
      </c>
      <c r="B138" s="51" t="s">
        <v>156</v>
      </c>
      <c r="C138" s="52" t="s">
        <v>157</v>
      </c>
      <c r="D138" s="51"/>
      <c r="E138" s="51"/>
      <c r="F138" s="53">
        <f t="shared" si="1"/>
        <v>0</v>
      </c>
      <c r="G138" s="54"/>
      <c r="H138" s="55"/>
    </row>
    <row r="139" spans="1:8" ht="101.25" x14ac:dyDescent="0.25">
      <c r="A139" s="33">
        <v>128</v>
      </c>
      <c r="B139" s="34">
        <v>4</v>
      </c>
      <c r="C139" s="23" t="s">
        <v>158</v>
      </c>
      <c r="D139" s="34">
        <v>200</v>
      </c>
      <c r="E139" s="34"/>
      <c r="F139" s="24">
        <f t="shared" si="1"/>
        <v>200</v>
      </c>
      <c r="G139" s="35">
        <f>1+2+25+5+5+12</f>
        <v>50</v>
      </c>
      <c r="H139" s="36">
        <v>117.77</v>
      </c>
    </row>
    <row r="140" spans="1:8" ht="56.25" x14ac:dyDescent="0.25">
      <c r="A140" s="33">
        <v>129</v>
      </c>
      <c r="B140" s="34">
        <v>6</v>
      </c>
      <c r="C140" s="23" t="s">
        <v>159</v>
      </c>
      <c r="D140" s="34">
        <v>100</v>
      </c>
      <c r="E140" s="34">
        <f>18</f>
        <v>18</v>
      </c>
      <c r="F140" s="24">
        <f t="shared" si="1"/>
        <v>82</v>
      </c>
      <c r="G140" s="35"/>
      <c r="H140" s="36">
        <v>136.94</v>
      </c>
    </row>
    <row r="141" spans="1:8" ht="22.5" x14ac:dyDescent="0.25">
      <c r="A141" s="33">
        <v>130</v>
      </c>
      <c r="B141" s="34">
        <v>4</v>
      </c>
      <c r="C141" s="23" t="s">
        <v>160</v>
      </c>
      <c r="D141" s="34">
        <v>150</v>
      </c>
      <c r="E141" s="34"/>
      <c r="F141" s="24">
        <f t="shared" ref="F141:F166" si="2">SUM(D141-E141)</f>
        <v>150</v>
      </c>
      <c r="G141" s="35">
        <f>20</f>
        <v>20</v>
      </c>
      <c r="H141" s="36">
        <v>1.48</v>
      </c>
    </row>
    <row r="142" spans="1:8" ht="22.5" x14ac:dyDescent="0.25">
      <c r="A142" s="37">
        <v>131</v>
      </c>
      <c r="B142" s="38">
        <v>4</v>
      </c>
      <c r="C142" s="27" t="s">
        <v>161</v>
      </c>
      <c r="D142" s="38">
        <v>150</v>
      </c>
      <c r="E142" s="38"/>
      <c r="F142" s="28">
        <f t="shared" si="2"/>
        <v>150</v>
      </c>
      <c r="G142" s="39">
        <f>150</f>
        <v>150</v>
      </c>
      <c r="H142" s="40">
        <v>1.25</v>
      </c>
    </row>
    <row r="143" spans="1:8" ht="22.5" x14ac:dyDescent="0.25">
      <c r="A143" s="33">
        <v>132</v>
      </c>
      <c r="B143" s="34">
        <v>6</v>
      </c>
      <c r="C143" s="23" t="s">
        <v>162</v>
      </c>
      <c r="D143" s="34">
        <v>300</v>
      </c>
      <c r="E143" s="34">
        <f>130</f>
        <v>130</v>
      </c>
      <c r="F143" s="24">
        <f t="shared" si="2"/>
        <v>170</v>
      </c>
      <c r="G143" s="35"/>
      <c r="H143" s="36">
        <v>3.9</v>
      </c>
    </row>
    <row r="144" spans="1:8" ht="22.5" x14ac:dyDescent="0.25">
      <c r="A144" s="43">
        <v>133</v>
      </c>
      <c r="B144" s="44">
        <v>6</v>
      </c>
      <c r="C144" s="45" t="s">
        <v>163</v>
      </c>
      <c r="D144" s="44">
        <v>300</v>
      </c>
      <c r="E144" s="44"/>
      <c r="F144" s="46">
        <f t="shared" si="2"/>
        <v>300</v>
      </c>
      <c r="G144" s="47"/>
      <c r="H144" s="48">
        <v>9.9</v>
      </c>
    </row>
    <row r="145" spans="1:8" ht="22.5" x14ac:dyDescent="0.25">
      <c r="A145" s="33">
        <v>134</v>
      </c>
      <c r="B145" s="34">
        <v>4</v>
      </c>
      <c r="C145" s="23" t="s">
        <v>164</v>
      </c>
      <c r="D145" s="34">
        <v>300</v>
      </c>
      <c r="E145" s="34"/>
      <c r="F145" s="24">
        <f t="shared" si="2"/>
        <v>300</v>
      </c>
      <c r="G145" s="35">
        <f>100+50+30</f>
        <v>180</v>
      </c>
      <c r="H145" s="36">
        <v>13.49</v>
      </c>
    </row>
    <row r="146" spans="1:8" ht="33.75" x14ac:dyDescent="0.25">
      <c r="A146" s="33">
        <v>135</v>
      </c>
      <c r="B146" s="34">
        <v>4</v>
      </c>
      <c r="C146" s="23" t="s">
        <v>165</v>
      </c>
      <c r="D146" s="34">
        <v>150</v>
      </c>
      <c r="E146" s="34"/>
      <c r="F146" s="24">
        <f t="shared" si="2"/>
        <v>150</v>
      </c>
      <c r="G146" s="35">
        <f>2</f>
        <v>2</v>
      </c>
      <c r="H146" s="36">
        <v>83.11</v>
      </c>
    </row>
    <row r="147" spans="1:8" ht="67.5" x14ac:dyDescent="0.25">
      <c r="A147" s="33">
        <v>136</v>
      </c>
      <c r="B147" s="34">
        <v>4</v>
      </c>
      <c r="C147" s="23" t="s">
        <v>166</v>
      </c>
      <c r="D147" s="34">
        <v>500</v>
      </c>
      <c r="E147" s="34"/>
      <c r="F147" s="24">
        <f t="shared" si="2"/>
        <v>500</v>
      </c>
      <c r="G147" s="35">
        <f>4+5+30+2</f>
        <v>41</v>
      </c>
      <c r="H147" s="36">
        <v>4.05</v>
      </c>
    </row>
    <row r="148" spans="1:8" ht="67.5" x14ac:dyDescent="0.25">
      <c r="A148" s="33">
        <v>137</v>
      </c>
      <c r="B148" s="34">
        <v>4</v>
      </c>
      <c r="C148" s="23" t="s">
        <v>167</v>
      </c>
      <c r="D148" s="34">
        <v>500</v>
      </c>
      <c r="E148" s="34"/>
      <c r="F148" s="24">
        <f t="shared" si="2"/>
        <v>500</v>
      </c>
      <c r="G148" s="35">
        <f>4+5+30+2</f>
        <v>41</v>
      </c>
      <c r="H148" s="36">
        <v>6.3</v>
      </c>
    </row>
    <row r="149" spans="1:8" ht="67.5" x14ac:dyDescent="0.25">
      <c r="A149" s="33">
        <v>138</v>
      </c>
      <c r="B149" s="34">
        <v>4</v>
      </c>
      <c r="C149" s="23" t="s">
        <v>168</v>
      </c>
      <c r="D149" s="34">
        <v>500</v>
      </c>
      <c r="E149" s="34"/>
      <c r="F149" s="24">
        <f t="shared" si="2"/>
        <v>500</v>
      </c>
      <c r="G149" s="35">
        <f>100+30</f>
        <v>130</v>
      </c>
      <c r="H149" s="36">
        <v>5.95</v>
      </c>
    </row>
    <row r="150" spans="1:8" ht="90" x14ac:dyDescent="0.25">
      <c r="A150" s="33">
        <v>139</v>
      </c>
      <c r="B150" s="34">
        <v>4</v>
      </c>
      <c r="C150" s="23" t="s">
        <v>169</v>
      </c>
      <c r="D150" s="34">
        <v>100</v>
      </c>
      <c r="E150" s="34"/>
      <c r="F150" s="24">
        <f t="shared" si="2"/>
        <v>100</v>
      </c>
      <c r="G150" s="35">
        <f>4+20+5+2</f>
        <v>31</v>
      </c>
      <c r="H150" s="36">
        <v>15</v>
      </c>
    </row>
    <row r="151" spans="1:8" ht="22.5" x14ac:dyDescent="0.25">
      <c r="A151" s="33">
        <v>140</v>
      </c>
      <c r="B151" s="34">
        <v>6</v>
      </c>
      <c r="C151" s="23" t="s">
        <v>170</v>
      </c>
      <c r="D151" s="34">
        <v>150</v>
      </c>
      <c r="E151" s="34">
        <f>100</f>
        <v>100</v>
      </c>
      <c r="F151" s="24">
        <f t="shared" si="2"/>
        <v>50</v>
      </c>
      <c r="G151" s="35"/>
      <c r="H151" s="36">
        <v>4.51</v>
      </c>
    </row>
    <row r="152" spans="1:8" ht="22.5" x14ac:dyDescent="0.25">
      <c r="A152" s="33">
        <v>141</v>
      </c>
      <c r="B152" s="34">
        <v>6</v>
      </c>
      <c r="C152" s="23" t="s">
        <v>171</v>
      </c>
      <c r="D152" s="34">
        <v>150</v>
      </c>
      <c r="E152" s="34">
        <f>30</f>
        <v>30</v>
      </c>
      <c r="F152" s="24">
        <f t="shared" si="2"/>
        <v>120</v>
      </c>
      <c r="G152" s="35"/>
      <c r="H152" s="36">
        <v>4.38</v>
      </c>
    </row>
    <row r="153" spans="1:8" ht="22.5" x14ac:dyDescent="0.25">
      <c r="A153" s="33">
        <v>142</v>
      </c>
      <c r="B153" s="34">
        <v>6</v>
      </c>
      <c r="C153" s="23" t="s">
        <v>172</v>
      </c>
      <c r="D153" s="34">
        <v>150</v>
      </c>
      <c r="E153" s="34"/>
      <c r="F153" s="24">
        <f t="shared" si="2"/>
        <v>150</v>
      </c>
      <c r="G153" s="35"/>
      <c r="H153" s="36">
        <v>4.79</v>
      </c>
    </row>
    <row r="154" spans="1:8" ht="22.5" x14ac:dyDescent="0.25">
      <c r="A154" s="33">
        <v>143</v>
      </c>
      <c r="B154" s="34">
        <v>6</v>
      </c>
      <c r="C154" s="23" t="s">
        <v>173</v>
      </c>
      <c r="D154" s="34">
        <v>200</v>
      </c>
      <c r="E154" s="34">
        <f>150</f>
        <v>150</v>
      </c>
      <c r="F154" s="24">
        <f t="shared" si="2"/>
        <v>50</v>
      </c>
      <c r="G154" s="35"/>
      <c r="H154" s="36">
        <v>3.3</v>
      </c>
    </row>
    <row r="155" spans="1:8" ht="22.5" x14ac:dyDescent="0.25">
      <c r="A155" s="43">
        <v>144</v>
      </c>
      <c r="B155" s="44">
        <v>1</v>
      </c>
      <c r="C155" s="45" t="s">
        <v>174</v>
      </c>
      <c r="D155" s="44">
        <v>150</v>
      </c>
      <c r="E155" s="44"/>
      <c r="F155" s="46">
        <f t="shared" si="2"/>
        <v>150</v>
      </c>
      <c r="G155" s="47"/>
      <c r="H155" s="48">
        <v>8</v>
      </c>
    </row>
    <row r="156" spans="1:8" ht="22.5" x14ac:dyDescent="0.25">
      <c r="A156" s="33">
        <v>145</v>
      </c>
      <c r="B156" s="34">
        <v>4</v>
      </c>
      <c r="C156" s="23" t="s">
        <v>175</v>
      </c>
      <c r="D156" s="34">
        <v>200</v>
      </c>
      <c r="E156" s="34"/>
      <c r="F156" s="24">
        <f t="shared" si="2"/>
        <v>200</v>
      </c>
      <c r="G156" s="35">
        <f>10+50</f>
        <v>60</v>
      </c>
      <c r="H156" s="36">
        <v>4.51</v>
      </c>
    </row>
    <row r="157" spans="1:8" ht="22.5" x14ac:dyDescent="0.25">
      <c r="A157" s="33">
        <v>146</v>
      </c>
      <c r="B157" s="34">
        <v>4</v>
      </c>
      <c r="C157" s="23" t="s">
        <v>176</v>
      </c>
      <c r="D157" s="34">
        <v>300</v>
      </c>
      <c r="E157" s="34"/>
      <c r="F157" s="24">
        <f t="shared" si="2"/>
        <v>300</v>
      </c>
      <c r="G157" s="35">
        <f>40+5</f>
        <v>45</v>
      </c>
      <c r="H157" s="36">
        <v>3.3</v>
      </c>
    </row>
    <row r="158" spans="1:8" ht="22.5" x14ac:dyDescent="0.25">
      <c r="A158" s="33">
        <v>147</v>
      </c>
      <c r="B158" s="34">
        <v>9</v>
      </c>
      <c r="C158" s="23" t="s">
        <v>177</v>
      </c>
      <c r="D158" s="34">
        <v>200</v>
      </c>
      <c r="E158" s="34">
        <f>30</f>
        <v>30</v>
      </c>
      <c r="F158" s="24">
        <f t="shared" si="2"/>
        <v>170</v>
      </c>
      <c r="G158" s="35"/>
      <c r="H158" s="36">
        <v>9.42</v>
      </c>
    </row>
    <row r="159" spans="1:8" ht="22.5" x14ac:dyDescent="0.25">
      <c r="A159" s="33">
        <v>148</v>
      </c>
      <c r="B159" s="34">
        <v>4</v>
      </c>
      <c r="C159" s="23" t="s">
        <v>178</v>
      </c>
      <c r="D159" s="34">
        <v>200</v>
      </c>
      <c r="E159" s="34"/>
      <c r="F159" s="24">
        <f t="shared" si="2"/>
        <v>200</v>
      </c>
      <c r="G159" s="35">
        <f>5+30+10+25+5+3</f>
        <v>78</v>
      </c>
      <c r="H159" s="36">
        <v>12.5</v>
      </c>
    </row>
    <row r="160" spans="1:8" ht="22.5" x14ac:dyDescent="0.25">
      <c r="A160" s="33">
        <v>149</v>
      </c>
      <c r="B160" s="56">
        <v>4</v>
      </c>
      <c r="C160" s="23" t="s">
        <v>179</v>
      </c>
      <c r="D160" s="57">
        <v>200</v>
      </c>
      <c r="E160" s="56"/>
      <c r="F160" s="24">
        <f t="shared" si="2"/>
        <v>200</v>
      </c>
      <c r="G160" s="58">
        <f>5+30+2+3+25+6</f>
        <v>71</v>
      </c>
      <c r="H160" s="59">
        <v>13.33</v>
      </c>
    </row>
    <row r="161" spans="1:8" ht="78.75" x14ac:dyDescent="0.25">
      <c r="A161" s="33">
        <v>150</v>
      </c>
      <c r="B161" s="56">
        <v>4</v>
      </c>
      <c r="C161" s="23" t="s">
        <v>180</v>
      </c>
      <c r="D161" s="57">
        <v>200</v>
      </c>
      <c r="E161" s="56"/>
      <c r="F161" s="24">
        <f t="shared" si="2"/>
        <v>200</v>
      </c>
      <c r="G161" s="58"/>
      <c r="H161" s="60">
        <v>22.55</v>
      </c>
    </row>
    <row r="162" spans="1:8" ht="45" x14ac:dyDescent="0.25">
      <c r="A162" s="50">
        <v>151</v>
      </c>
      <c r="B162" s="61" t="s">
        <v>156</v>
      </c>
      <c r="C162" s="52" t="s">
        <v>181</v>
      </c>
      <c r="D162" s="62"/>
      <c r="E162" s="61"/>
      <c r="F162" s="53">
        <f t="shared" si="2"/>
        <v>0</v>
      </c>
      <c r="G162" s="63"/>
      <c r="H162" s="64"/>
    </row>
    <row r="163" spans="1:8" ht="45" x14ac:dyDescent="0.25">
      <c r="A163" s="50">
        <v>152</v>
      </c>
      <c r="B163" s="61" t="s">
        <v>156</v>
      </c>
      <c r="C163" s="52" t="s">
        <v>182</v>
      </c>
      <c r="D163" s="62"/>
      <c r="E163" s="61"/>
      <c r="F163" s="53">
        <f t="shared" si="2"/>
        <v>0</v>
      </c>
      <c r="G163" s="63"/>
      <c r="H163" s="64"/>
    </row>
    <row r="164" spans="1:8" ht="45" x14ac:dyDescent="0.25">
      <c r="A164" s="65">
        <v>153</v>
      </c>
      <c r="B164" s="66">
        <v>3</v>
      </c>
      <c r="C164" s="67" t="s">
        <v>193</v>
      </c>
      <c r="D164" s="68">
        <v>300</v>
      </c>
      <c r="E164" s="66"/>
      <c r="F164" s="69">
        <f t="shared" si="2"/>
        <v>300</v>
      </c>
      <c r="G164" s="70"/>
      <c r="H164" s="71">
        <v>19.170000000000002</v>
      </c>
    </row>
    <row r="165" spans="1:8" ht="45" x14ac:dyDescent="0.25">
      <c r="A165" s="33">
        <v>154</v>
      </c>
      <c r="B165" s="56">
        <v>4</v>
      </c>
      <c r="C165" s="23" t="s">
        <v>194</v>
      </c>
      <c r="D165" s="57">
        <v>50</v>
      </c>
      <c r="E165" s="56"/>
      <c r="F165" s="24">
        <f t="shared" si="2"/>
        <v>50</v>
      </c>
      <c r="G165" s="58"/>
      <c r="H165" s="60">
        <v>86</v>
      </c>
    </row>
    <row r="166" spans="1:8" ht="45" x14ac:dyDescent="0.25">
      <c r="A166" s="33">
        <v>155</v>
      </c>
      <c r="B166" s="56">
        <v>4</v>
      </c>
      <c r="C166" s="23" t="s">
        <v>195</v>
      </c>
      <c r="D166" s="57">
        <v>300</v>
      </c>
      <c r="E166" s="56"/>
      <c r="F166" s="24">
        <f t="shared" si="2"/>
        <v>300</v>
      </c>
      <c r="G166" s="58">
        <f>20+4+2</f>
        <v>26</v>
      </c>
      <c r="H166" s="60">
        <v>15.97</v>
      </c>
    </row>
  </sheetData>
  <sheetProtection algorithmName="SHA-512" hashValue="wIAHTJDiUUGVkMAQ5WtJNjo+mhgli/wzvJjRiprnf4vNgXZmh+kjhw6vbjRXgAQOg9xnV57Ijsej6RmpgsQnMA==" saltValue="9Nk5Dc2GkJrPrfmdgZLZmA==" spinCount="100000" sheet="1" objects="1" scenarios="1"/>
  <mergeCells count="9">
    <mergeCell ref="D6:F6"/>
    <mergeCell ref="B8:H8"/>
    <mergeCell ref="B9:H9"/>
    <mergeCell ref="A1:H1"/>
    <mergeCell ref="B2:D2"/>
    <mergeCell ref="B3:C3"/>
    <mergeCell ref="F3:F4"/>
    <mergeCell ref="G3:G4"/>
    <mergeCell ref="B4:C4"/>
  </mergeCells>
  <conditionalFormatting sqref="G12">
    <cfRule type="cellIs" dxfId="1322" priority="1" stopIfTrue="1" operator="greaterThan">
      <formula>$F$12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384</v>
      </c>
      <c r="B1" s="78"/>
      <c r="G1" s="217"/>
    </row>
    <row r="2" spans="1:12" ht="16.5" thickTop="1" thickBot="1" x14ac:dyDescent="0.3">
      <c r="A2" s="133" t="s">
        <v>3</v>
      </c>
      <c r="B2" s="111">
        <v>220300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45.75" thickTop="1" x14ac:dyDescent="0.25">
      <c r="A5" s="104" t="s">
        <v>485</v>
      </c>
      <c r="B5" s="105" t="s">
        <v>205</v>
      </c>
      <c r="C5" s="105" t="s">
        <v>205</v>
      </c>
      <c r="D5" s="106" t="s">
        <v>205</v>
      </c>
      <c r="E5" s="105" t="s">
        <v>205</v>
      </c>
      <c r="F5" s="105" t="s">
        <v>403</v>
      </c>
      <c r="G5" s="80">
        <v>1</v>
      </c>
      <c r="H5" s="81"/>
      <c r="I5" s="82">
        <v>0</v>
      </c>
      <c r="J5"/>
      <c r="L5"/>
    </row>
    <row r="6" spans="1:12" s="83" customFormat="1" ht="30" x14ac:dyDescent="0.25">
      <c r="A6" s="104" t="s">
        <v>464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20</v>
      </c>
      <c r="H6" s="85">
        <v>20</v>
      </c>
      <c r="I6" s="86">
        <v>93.2</v>
      </c>
      <c r="K6"/>
    </row>
    <row r="7" spans="1:12" s="83" customFormat="1" ht="30" x14ac:dyDescent="0.25">
      <c r="A7" s="104" t="s">
        <v>484</v>
      </c>
      <c r="B7" s="105" t="s">
        <v>205</v>
      </c>
      <c r="C7" s="105" t="s">
        <v>402</v>
      </c>
      <c r="D7" s="106">
        <v>42830</v>
      </c>
      <c r="E7" s="106">
        <v>42859</v>
      </c>
      <c r="F7" s="105" t="s">
        <v>601</v>
      </c>
      <c r="G7" s="84">
        <v>30</v>
      </c>
      <c r="H7" s="85">
        <v>30</v>
      </c>
      <c r="I7" s="86">
        <v>123.60000000000001</v>
      </c>
    </row>
    <row r="8" spans="1:12" s="87" customFormat="1" ht="45" x14ac:dyDescent="0.25">
      <c r="A8" s="104" t="s">
        <v>538</v>
      </c>
      <c r="B8" s="105" t="s">
        <v>205</v>
      </c>
      <c r="C8" s="105" t="s">
        <v>435</v>
      </c>
      <c r="D8" s="106">
        <v>42835</v>
      </c>
      <c r="E8" s="106">
        <v>42895</v>
      </c>
      <c r="F8" s="105" t="s">
        <v>627</v>
      </c>
      <c r="G8" s="84">
        <v>300</v>
      </c>
      <c r="H8" s="85">
        <v>218</v>
      </c>
      <c r="I8" s="86">
        <v>61.040000000000006</v>
      </c>
    </row>
    <row r="9" spans="1:12" s="87" customFormat="1" ht="30" x14ac:dyDescent="0.25">
      <c r="A9" s="104" t="s">
        <v>559</v>
      </c>
      <c r="B9" s="105" t="s">
        <v>205</v>
      </c>
      <c r="C9" s="105" t="s">
        <v>431</v>
      </c>
      <c r="D9" s="106">
        <v>42835</v>
      </c>
      <c r="E9" s="106">
        <v>43031</v>
      </c>
      <c r="F9" s="105" t="s">
        <v>601</v>
      </c>
      <c r="G9" s="84">
        <v>10</v>
      </c>
      <c r="H9" s="85">
        <v>10</v>
      </c>
      <c r="I9" s="86">
        <v>691.4</v>
      </c>
    </row>
    <row r="10" spans="1:12" s="90" customFormat="1" x14ac:dyDescent="0.25">
      <c r="A10" s="104" t="s">
        <v>368</v>
      </c>
      <c r="B10" s="105" t="s">
        <v>205</v>
      </c>
      <c r="C10" s="105" t="s">
        <v>593</v>
      </c>
      <c r="D10" s="106">
        <v>42577</v>
      </c>
      <c r="E10" s="106">
        <v>42933</v>
      </c>
      <c r="F10" s="105" t="s">
        <v>601</v>
      </c>
      <c r="G10" s="84">
        <v>30</v>
      </c>
      <c r="H10" s="85">
        <v>30</v>
      </c>
      <c r="I10" s="86">
        <v>450</v>
      </c>
    </row>
    <row r="11" spans="1:12" x14ac:dyDescent="0.25">
      <c r="A11" s="104" t="s">
        <v>369</v>
      </c>
      <c r="B11" s="105" t="s">
        <v>205</v>
      </c>
      <c r="C11" s="105" t="s">
        <v>593</v>
      </c>
      <c r="D11" s="106">
        <v>42577</v>
      </c>
      <c r="E11" s="106">
        <v>42933</v>
      </c>
      <c r="F11" s="105" t="s">
        <v>601</v>
      </c>
      <c r="G11" s="84">
        <v>40</v>
      </c>
      <c r="H11" s="85">
        <v>40</v>
      </c>
      <c r="I11" s="86">
        <v>480</v>
      </c>
    </row>
    <row r="12" spans="1:12" ht="45" x14ac:dyDescent="0.25">
      <c r="A12" s="104" t="s">
        <v>545</v>
      </c>
      <c r="B12" s="105" t="s">
        <v>205</v>
      </c>
      <c r="C12" s="105" t="s">
        <v>437</v>
      </c>
      <c r="D12" s="106">
        <v>42835</v>
      </c>
      <c r="E12" s="106">
        <v>42892</v>
      </c>
      <c r="F12" s="105" t="s">
        <v>627</v>
      </c>
      <c r="G12" s="84">
        <v>40</v>
      </c>
      <c r="H12" s="85">
        <v>29</v>
      </c>
      <c r="I12" s="86">
        <v>120.92999999999999</v>
      </c>
    </row>
    <row r="13" spans="1:12" x14ac:dyDescent="0.25">
      <c r="A13" s="104" t="s">
        <v>550</v>
      </c>
      <c r="B13" s="105" t="s">
        <v>205</v>
      </c>
      <c r="C13" s="105" t="s">
        <v>431</v>
      </c>
      <c r="D13" s="106">
        <v>42835</v>
      </c>
      <c r="E13" s="106">
        <v>43031</v>
      </c>
      <c r="F13" s="105" t="s">
        <v>601</v>
      </c>
      <c r="G13" s="84">
        <v>10</v>
      </c>
      <c r="H13" s="85">
        <v>10</v>
      </c>
      <c r="I13" s="86">
        <v>0.70000000000000007</v>
      </c>
    </row>
    <row r="14" spans="1:12" x14ac:dyDescent="0.25">
      <c r="A14" s="104" t="s">
        <v>551</v>
      </c>
      <c r="B14" s="105" t="s">
        <v>205</v>
      </c>
      <c r="C14" s="105" t="s">
        <v>437</v>
      </c>
      <c r="D14" s="106">
        <v>42835</v>
      </c>
      <c r="E14" s="106">
        <v>42892</v>
      </c>
      <c r="F14" s="105" t="s">
        <v>601</v>
      </c>
      <c r="G14" s="84">
        <v>40</v>
      </c>
      <c r="H14" s="85">
        <v>40</v>
      </c>
      <c r="I14" s="86">
        <v>176.4</v>
      </c>
    </row>
    <row r="15" spans="1:12" ht="45.75" thickBot="1" x14ac:dyDescent="0.3">
      <c r="A15" s="104" t="s">
        <v>558</v>
      </c>
      <c r="B15" s="105" t="s">
        <v>205</v>
      </c>
      <c r="C15" s="105" t="s">
        <v>431</v>
      </c>
      <c r="D15" s="106">
        <v>42835</v>
      </c>
      <c r="E15" s="106">
        <v>43031</v>
      </c>
      <c r="F15" s="105" t="s">
        <v>601</v>
      </c>
      <c r="G15" s="84">
        <v>50</v>
      </c>
      <c r="H15" s="85">
        <v>50</v>
      </c>
      <c r="I15" s="86">
        <v>246.5</v>
      </c>
    </row>
    <row r="16" spans="1:12" ht="16.5" thickTop="1" thickBot="1" x14ac:dyDescent="0.3">
      <c r="A16" s="107" t="s">
        <v>199</v>
      </c>
      <c r="B16" s="108"/>
      <c r="C16" s="108"/>
      <c r="D16" s="108"/>
      <c r="E16" s="108"/>
      <c r="F16" s="109"/>
      <c r="G16" s="88">
        <v>571</v>
      </c>
      <c r="H16" s="96">
        <v>477</v>
      </c>
      <c r="I16" s="89">
        <v>2443.77</v>
      </c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67j/SfKSdUUP5eoFNdcBVoHJYCc7gY7ZAOrWCUuNj6Y2fPXxKsrT+HR/Xkq8xVckqeNbZHZN912Nv/ye094WDw==" saltValue="kC6zHuvqNXppwq/JdTFx2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404</v>
      </c>
      <c r="B1" s="78"/>
      <c r="G1" s="217"/>
    </row>
    <row r="2" spans="1:12" ht="16.5" thickTop="1" thickBot="1" x14ac:dyDescent="0.3">
      <c r="A2" s="133" t="s">
        <v>3</v>
      </c>
      <c r="B2" s="111">
        <v>220400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45.75" thickTop="1" x14ac:dyDescent="0.25">
      <c r="A5" s="104" t="s">
        <v>470</v>
      </c>
      <c r="B5" s="105" t="s">
        <v>205</v>
      </c>
      <c r="C5" s="105" t="s">
        <v>413</v>
      </c>
      <c r="D5" s="106">
        <v>42759</v>
      </c>
      <c r="E5" s="106">
        <v>42872</v>
      </c>
      <c r="F5" s="105" t="s">
        <v>601</v>
      </c>
      <c r="G5" s="80">
        <v>10</v>
      </c>
      <c r="H5" s="81">
        <v>10</v>
      </c>
      <c r="I5" s="82">
        <v>31.200000000000003</v>
      </c>
      <c r="J5"/>
      <c r="L5"/>
    </row>
    <row r="6" spans="1:12" s="83" customFormat="1" ht="45" x14ac:dyDescent="0.25">
      <c r="A6" s="104" t="s">
        <v>471</v>
      </c>
      <c r="B6" s="105" t="s">
        <v>205</v>
      </c>
      <c r="C6" s="105" t="s">
        <v>416</v>
      </c>
      <c r="D6" s="106">
        <v>42759</v>
      </c>
      <c r="E6" s="106">
        <v>42838</v>
      </c>
      <c r="F6" s="105" t="s">
        <v>601</v>
      </c>
      <c r="G6" s="84">
        <v>10</v>
      </c>
      <c r="H6" s="85">
        <v>10</v>
      </c>
      <c r="I6" s="86">
        <v>27.799999999999997</v>
      </c>
      <c r="K6"/>
    </row>
    <row r="7" spans="1:12" s="83" customFormat="1" ht="45" x14ac:dyDescent="0.25">
      <c r="A7" s="104" t="s">
        <v>454</v>
      </c>
      <c r="B7" s="105" t="s">
        <v>205</v>
      </c>
      <c r="C7" s="105" t="s">
        <v>416</v>
      </c>
      <c r="D7" s="106">
        <v>42759</v>
      </c>
      <c r="E7" s="106">
        <v>42838</v>
      </c>
      <c r="F7" s="105" t="s">
        <v>601</v>
      </c>
      <c r="G7" s="84">
        <v>1</v>
      </c>
      <c r="H7" s="85">
        <v>1</v>
      </c>
      <c r="I7" s="86">
        <v>5.99</v>
      </c>
    </row>
    <row r="8" spans="1:12" s="87" customFormat="1" ht="45" x14ac:dyDescent="0.25">
      <c r="A8" s="104" t="s">
        <v>507</v>
      </c>
      <c r="B8" s="105" t="s">
        <v>205</v>
      </c>
      <c r="C8" s="105" t="s">
        <v>416</v>
      </c>
      <c r="D8" s="106">
        <v>42759</v>
      </c>
      <c r="E8" s="106">
        <v>42838</v>
      </c>
      <c r="F8" s="105" t="s">
        <v>601</v>
      </c>
      <c r="G8" s="84">
        <v>10</v>
      </c>
      <c r="H8" s="85">
        <v>10</v>
      </c>
      <c r="I8" s="86">
        <v>82.899999999999991</v>
      </c>
    </row>
    <row r="9" spans="1:12" s="87" customFormat="1" ht="45" x14ac:dyDescent="0.25">
      <c r="A9" s="104" t="s">
        <v>453</v>
      </c>
      <c r="B9" s="105" t="s">
        <v>205</v>
      </c>
      <c r="C9" s="105" t="s">
        <v>416</v>
      </c>
      <c r="D9" s="106">
        <v>42759</v>
      </c>
      <c r="E9" s="106">
        <v>42838</v>
      </c>
      <c r="F9" s="105" t="s">
        <v>601</v>
      </c>
      <c r="G9" s="84">
        <v>10</v>
      </c>
      <c r="H9" s="85">
        <v>10</v>
      </c>
      <c r="I9" s="86">
        <v>22</v>
      </c>
    </row>
    <row r="10" spans="1:12" s="90" customFormat="1" ht="45" x14ac:dyDescent="0.25">
      <c r="A10" s="104" t="s">
        <v>472</v>
      </c>
      <c r="B10" s="105" t="s">
        <v>205</v>
      </c>
      <c r="C10" s="105" t="s">
        <v>416</v>
      </c>
      <c r="D10" s="106">
        <v>42759</v>
      </c>
      <c r="E10" s="106">
        <v>42838</v>
      </c>
      <c r="F10" s="105" t="s">
        <v>601</v>
      </c>
      <c r="G10" s="84">
        <v>10</v>
      </c>
      <c r="H10" s="85">
        <v>10</v>
      </c>
      <c r="I10" s="86">
        <v>36.800000000000004</v>
      </c>
    </row>
    <row r="11" spans="1:12" ht="45" x14ac:dyDescent="0.25">
      <c r="A11" s="104" t="s">
        <v>473</v>
      </c>
      <c r="B11" s="105" t="s">
        <v>205</v>
      </c>
      <c r="C11" s="105" t="s">
        <v>416</v>
      </c>
      <c r="D11" s="106">
        <v>42759</v>
      </c>
      <c r="E11" s="106">
        <v>42838</v>
      </c>
      <c r="F11" s="105" t="s">
        <v>601</v>
      </c>
      <c r="G11" s="84">
        <v>10</v>
      </c>
      <c r="H11" s="85">
        <v>10</v>
      </c>
      <c r="I11" s="86">
        <v>52</v>
      </c>
    </row>
    <row r="12" spans="1:12" ht="75.75" thickBot="1" x14ac:dyDescent="0.3">
      <c r="A12" s="104" t="s">
        <v>520</v>
      </c>
      <c r="B12" s="105" t="s">
        <v>205</v>
      </c>
      <c r="C12" s="105" t="s">
        <v>416</v>
      </c>
      <c r="D12" s="106">
        <v>42759</v>
      </c>
      <c r="E12" s="106">
        <v>42838</v>
      </c>
      <c r="F12" s="105" t="s">
        <v>615</v>
      </c>
      <c r="G12" s="84">
        <v>100</v>
      </c>
      <c r="H12" s="85">
        <v>54</v>
      </c>
      <c r="I12" s="86">
        <v>503.82</v>
      </c>
    </row>
    <row r="13" spans="1:12" ht="16.5" thickTop="1" thickBot="1" x14ac:dyDescent="0.3">
      <c r="A13" s="107" t="s">
        <v>199</v>
      </c>
      <c r="B13" s="108"/>
      <c r="C13" s="108"/>
      <c r="D13" s="108"/>
      <c r="E13" s="108"/>
      <c r="F13" s="109"/>
      <c r="G13" s="88">
        <v>161</v>
      </c>
      <c r="H13" s="96">
        <v>115</v>
      </c>
      <c r="I13" s="89">
        <v>762.51</v>
      </c>
    </row>
    <row r="14" spans="1:12" ht="15.75" thickTop="1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ht="15.75" thickBot="1" x14ac:dyDescent="0.3">
      <c r="B70"/>
      <c r="C70"/>
      <c r="D70"/>
      <c r="E70"/>
    </row>
    <row r="71" spans="2:5" ht="16.5" thickTop="1" thickBot="1" x14ac:dyDescent="0.3">
      <c r="B71"/>
      <c r="C71"/>
      <c r="D71"/>
      <c r="E71"/>
    </row>
    <row r="72" spans="2:5" ht="15.75" thickTop="1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HDWsGnPpOBhRuhTcI2cZ3egF0V/LQ8rWsUv5MT0VebuXUfTEGUOHcwqIMN+V8tG087DJLn+CNSiMaYN7TTEn+A==" saltValue="4uWxGyFTGC/nSjjpF4E4p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382</v>
      </c>
      <c r="B1" s="78"/>
      <c r="G1" s="217"/>
    </row>
    <row r="2" spans="1:12" ht="16.5" thickTop="1" thickBot="1" x14ac:dyDescent="0.3">
      <c r="A2" s="133" t="s">
        <v>3</v>
      </c>
      <c r="B2" s="111">
        <v>220410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6.5" thickTop="1" thickBot="1" x14ac:dyDescent="0.3">
      <c r="A5" s="104" t="s">
        <v>456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2</v>
      </c>
      <c r="H5" s="81">
        <v>2</v>
      </c>
      <c r="I5" s="82">
        <v>670</v>
      </c>
      <c r="J5"/>
      <c r="L5"/>
    </row>
    <row r="6" spans="1:12" s="83" customFormat="1" ht="16.5" thickTop="1" thickBot="1" x14ac:dyDescent="0.3">
      <c r="A6" s="107" t="s">
        <v>199</v>
      </c>
      <c r="B6" s="108"/>
      <c r="C6" s="108"/>
      <c r="D6" s="108"/>
      <c r="E6" s="108"/>
      <c r="F6" s="109"/>
      <c r="G6" s="88">
        <v>2</v>
      </c>
      <c r="H6" s="96">
        <v>2</v>
      </c>
      <c r="I6" s="89">
        <v>670</v>
      </c>
      <c r="K6"/>
    </row>
    <row r="7" spans="1:12" s="83" customFormat="1" ht="15.75" thickTop="1" x14ac:dyDescent="0.25">
      <c r="A7"/>
      <c r="B7"/>
      <c r="C7"/>
      <c r="D7"/>
      <c r="E7"/>
      <c r="F7"/>
      <c r="G7"/>
      <c r="H7"/>
      <c r="I7"/>
    </row>
    <row r="8" spans="1:12" s="87" customFormat="1" x14ac:dyDescent="0.25">
      <c r="A8"/>
      <c r="B8"/>
      <c r="C8"/>
      <c r="D8"/>
      <c r="E8"/>
      <c r="F8"/>
      <c r="G8"/>
      <c r="H8"/>
      <c r="I8"/>
    </row>
    <row r="9" spans="1:12" s="87" customFormat="1" x14ac:dyDescent="0.25">
      <c r="A9"/>
      <c r="B9"/>
      <c r="C9"/>
      <c r="D9"/>
      <c r="E9"/>
      <c r="F9"/>
      <c r="G9"/>
      <c r="H9"/>
      <c r="I9"/>
    </row>
    <row r="10" spans="1:12" s="90" customFormat="1" x14ac:dyDescent="0.25">
      <c r="A10"/>
      <c r="B10"/>
      <c r="C10"/>
      <c r="D10"/>
      <c r="E10"/>
      <c r="F10"/>
      <c r="G10"/>
      <c r="H10"/>
      <c r="I10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ht="15.75" thickBot="1" x14ac:dyDescent="0.3">
      <c r="B90"/>
      <c r="C90"/>
      <c r="D90"/>
      <c r="E90"/>
    </row>
    <row r="91" spans="2:5" ht="16.5" thickTop="1" thickBot="1" x14ac:dyDescent="0.3">
      <c r="B91"/>
      <c r="C91"/>
      <c r="D91"/>
      <c r="E91"/>
    </row>
    <row r="92" spans="2:5" ht="15.75" thickTop="1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VPt5T2yjtht7mI21YCKP7aEpPiSfT2J+mUv8XoCo4Ri8Zv5yfVeXwBERjFgF9/TfeAY6zP/wXpAAUNOOwz8sFw==" saltValue="/NCoD/OAYufJ7sUCabcdF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385</v>
      </c>
      <c r="B1" s="78"/>
      <c r="G1" s="217"/>
    </row>
    <row r="2" spans="1:12" ht="16.5" thickTop="1" thickBot="1" x14ac:dyDescent="0.3">
      <c r="A2" s="133" t="s">
        <v>3</v>
      </c>
      <c r="B2" s="111">
        <v>220500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45.75" thickTop="1" x14ac:dyDescent="0.25">
      <c r="A5" s="104" t="s">
        <v>475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2</v>
      </c>
      <c r="H5" s="81">
        <v>2</v>
      </c>
      <c r="I5" s="82">
        <v>12.6</v>
      </c>
      <c r="J5"/>
      <c r="L5"/>
    </row>
    <row r="6" spans="1:12" s="83" customFormat="1" ht="45" x14ac:dyDescent="0.25">
      <c r="A6" s="104" t="s">
        <v>471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3</v>
      </c>
      <c r="H6" s="85">
        <v>3</v>
      </c>
      <c r="I6" s="86">
        <v>8.34</v>
      </c>
      <c r="K6"/>
    </row>
    <row r="7" spans="1:12" s="83" customFormat="1" ht="30" x14ac:dyDescent="0.25">
      <c r="A7" s="104" t="s">
        <v>481</v>
      </c>
      <c r="B7" s="105" t="s">
        <v>205</v>
      </c>
      <c r="C7" s="105" t="s">
        <v>401</v>
      </c>
      <c r="D7" s="106">
        <v>42830</v>
      </c>
      <c r="E7" s="106">
        <v>42859</v>
      </c>
      <c r="F7" s="105" t="s">
        <v>601</v>
      </c>
      <c r="G7" s="84">
        <v>2</v>
      </c>
      <c r="H7" s="85">
        <v>2</v>
      </c>
      <c r="I7" s="86">
        <v>18.600000000000001</v>
      </c>
    </row>
    <row r="8" spans="1:12" s="87" customFormat="1" ht="45" x14ac:dyDescent="0.25">
      <c r="A8" s="104" t="s">
        <v>454</v>
      </c>
      <c r="B8" s="105" t="s">
        <v>205</v>
      </c>
      <c r="C8" s="105" t="s">
        <v>402</v>
      </c>
      <c r="D8" s="106">
        <v>41734</v>
      </c>
      <c r="E8" s="106">
        <v>42859</v>
      </c>
      <c r="F8" s="105" t="s">
        <v>601</v>
      </c>
      <c r="G8" s="84">
        <v>3</v>
      </c>
      <c r="H8" s="85">
        <v>3</v>
      </c>
      <c r="I8" s="86">
        <v>17.97</v>
      </c>
    </row>
    <row r="9" spans="1:12" s="87" customFormat="1" x14ac:dyDescent="0.25">
      <c r="A9" s="104" t="s">
        <v>479</v>
      </c>
      <c r="B9" s="105" t="s">
        <v>205</v>
      </c>
      <c r="C9" s="105" t="s">
        <v>401</v>
      </c>
      <c r="D9" s="106">
        <v>42830</v>
      </c>
      <c r="E9" s="106">
        <v>42859</v>
      </c>
      <c r="F9" s="105" t="s">
        <v>601</v>
      </c>
      <c r="G9" s="84">
        <v>2</v>
      </c>
      <c r="H9" s="85">
        <v>2</v>
      </c>
      <c r="I9" s="86">
        <v>28</v>
      </c>
    </row>
    <row r="10" spans="1:12" s="90" customFormat="1" ht="30" x14ac:dyDescent="0.25">
      <c r="A10" s="104" t="s">
        <v>463</v>
      </c>
      <c r="B10" s="105" t="s">
        <v>205</v>
      </c>
      <c r="C10" s="105" t="s">
        <v>402</v>
      </c>
      <c r="D10" s="106">
        <v>42830</v>
      </c>
      <c r="E10" s="106">
        <v>42859</v>
      </c>
      <c r="F10" s="105" t="s">
        <v>601</v>
      </c>
      <c r="G10" s="84">
        <v>1</v>
      </c>
      <c r="H10" s="85">
        <v>1</v>
      </c>
      <c r="I10" s="86">
        <v>39</v>
      </c>
    </row>
    <row r="11" spans="1:12" ht="45" x14ac:dyDescent="0.25">
      <c r="A11" s="104" t="s">
        <v>453</v>
      </c>
      <c r="B11" s="105" t="s">
        <v>205</v>
      </c>
      <c r="C11" s="105" t="s">
        <v>402</v>
      </c>
      <c r="D11" s="106">
        <v>42830</v>
      </c>
      <c r="E11" s="106">
        <v>42859</v>
      </c>
      <c r="F11" s="105" t="s">
        <v>601</v>
      </c>
      <c r="G11" s="84">
        <v>3</v>
      </c>
      <c r="H11" s="85">
        <v>3</v>
      </c>
      <c r="I11" s="86">
        <v>6.6000000000000005</v>
      </c>
    </row>
    <row r="12" spans="1:12" ht="45" x14ac:dyDescent="0.25">
      <c r="A12" s="104" t="s">
        <v>486</v>
      </c>
      <c r="B12" s="105" t="s">
        <v>205</v>
      </c>
      <c r="C12" s="105" t="s">
        <v>402</v>
      </c>
      <c r="D12" s="106">
        <v>42830</v>
      </c>
      <c r="E12" s="106">
        <v>42859</v>
      </c>
      <c r="F12" s="105" t="s">
        <v>601</v>
      </c>
      <c r="G12" s="84">
        <v>5</v>
      </c>
      <c r="H12" s="85">
        <v>5</v>
      </c>
      <c r="I12" s="86">
        <v>29.75</v>
      </c>
    </row>
    <row r="13" spans="1:12" ht="30" x14ac:dyDescent="0.25">
      <c r="A13" s="104" t="s">
        <v>449</v>
      </c>
      <c r="B13" s="105" t="s">
        <v>205</v>
      </c>
      <c r="C13" s="105" t="s">
        <v>394</v>
      </c>
      <c r="D13" s="106">
        <v>42830</v>
      </c>
      <c r="E13" s="106">
        <v>42894</v>
      </c>
      <c r="F13" s="105" t="s">
        <v>601</v>
      </c>
      <c r="G13" s="84">
        <v>3</v>
      </c>
      <c r="H13" s="85">
        <v>3</v>
      </c>
      <c r="I13" s="86">
        <v>17.100000000000001</v>
      </c>
    </row>
    <row r="14" spans="1:12" ht="30" x14ac:dyDescent="0.25">
      <c r="A14" s="104" t="s">
        <v>444</v>
      </c>
      <c r="B14" s="105" t="s">
        <v>205</v>
      </c>
      <c r="C14" s="105" t="s">
        <v>401</v>
      </c>
      <c r="D14" s="106">
        <v>42830</v>
      </c>
      <c r="E14" s="106">
        <v>42859</v>
      </c>
      <c r="F14" s="105" t="s">
        <v>601</v>
      </c>
      <c r="G14" s="84">
        <v>5</v>
      </c>
      <c r="H14" s="85">
        <v>5</v>
      </c>
      <c r="I14" s="86">
        <v>19.950000000000003</v>
      </c>
    </row>
    <row r="15" spans="1:12" x14ac:dyDescent="0.25">
      <c r="A15" s="104" t="s">
        <v>549</v>
      </c>
      <c r="B15" s="105" t="s">
        <v>205</v>
      </c>
      <c r="C15" s="105" t="s">
        <v>429</v>
      </c>
      <c r="D15" s="106">
        <v>42835</v>
      </c>
      <c r="E15" s="106">
        <v>42898</v>
      </c>
      <c r="F15" s="105" t="s">
        <v>601</v>
      </c>
      <c r="G15" s="84">
        <v>2</v>
      </c>
      <c r="H15" s="85">
        <v>2</v>
      </c>
      <c r="I15" s="86">
        <v>68.38</v>
      </c>
    </row>
    <row r="16" spans="1:12" x14ac:dyDescent="0.25">
      <c r="A16" s="104" t="s">
        <v>538</v>
      </c>
      <c r="B16" s="105" t="s">
        <v>205</v>
      </c>
      <c r="C16" s="105" t="s">
        <v>435</v>
      </c>
      <c r="D16" s="106">
        <v>42835</v>
      </c>
      <c r="E16" s="106">
        <v>42895</v>
      </c>
      <c r="F16" s="105" t="s">
        <v>601</v>
      </c>
      <c r="G16" s="84">
        <v>200</v>
      </c>
      <c r="H16" s="85">
        <v>200</v>
      </c>
      <c r="I16" s="86">
        <v>56.000000000000007</v>
      </c>
    </row>
    <row r="17" spans="1:9" ht="135" x14ac:dyDescent="0.25">
      <c r="A17" s="104" t="s">
        <v>539</v>
      </c>
      <c r="B17" s="105" t="s">
        <v>205</v>
      </c>
      <c r="C17" s="105" t="s">
        <v>435</v>
      </c>
      <c r="D17" s="106">
        <v>42835</v>
      </c>
      <c r="E17" s="106">
        <v>42895</v>
      </c>
      <c r="F17" s="105" t="s">
        <v>601</v>
      </c>
      <c r="G17" s="84">
        <v>5</v>
      </c>
      <c r="H17" s="85">
        <v>5</v>
      </c>
      <c r="I17" s="86">
        <v>1484.95</v>
      </c>
    </row>
    <row r="18" spans="1:9" ht="45" x14ac:dyDescent="0.25">
      <c r="A18" s="104" t="s">
        <v>546</v>
      </c>
      <c r="B18" s="105" t="s">
        <v>205</v>
      </c>
      <c r="C18" s="105" t="s">
        <v>432</v>
      </c>
      <c r="D18" s="106">
        <v>42835</v>
      </c>
      <c r="E18" s="106">
        <v>42914</v>
      </c>
      <c r="F18" s="105" t="s">
        <v>601</v>
      </c>
      <c r="G18" s="84">
        <v>5</v>
      </c>
      <c r="H18" s="85">
        <v>5</v>
      </c>
      <c r="I18" s="86">
        <v>125</v>
      </c>
    </row>
    <row r="19" spans="1:9" ht="30" x14ac:dyDescent="0.25">
      <c r="A19" s="104" t="s">
        <v>560</v>
      </c>
      <c r="B19" s="105" t="s">
        <v>205</v>
      </c>
      <c r="C19" s="105" t="s">
        <v>434</v>
      </c>
      <c r="D19" s="106">
        <v>42835</v>
      </c>
      <c r="E19" s="105" t="s">
        <v>625</v>
      </c>
      <c r="F19" s="105" t="s">
        <v>646</v>
      </c>
      <c r="G19" s="84">
        <v>6</v>
      </c>
      <c r="H19" s="85">
        <v>6</v>
      </c>
      <c r="I19" s="86">
        <v>19.200000000000003</v>
      </c>
    </row>
    <row r="20" spans="1:9" ht="30" x14ac:dyDescent="0.25">
      <c r="A20" s="104" t="s">
        <v>559</v>
      </c>
      <c r="B20" s="105" t="s">
        <v>205</v>
      </c>
      <c r="C20" s="105" t="s">
        <v>431</v>
      </c>
      <c r="D20" s="106">
        <v>42835</v>
      </c>
      <c r="E20" s="106">
        <v>43031</v>
      </c>
      <c r="F20" s="105" t="s">
        <v>601</v>
      </c>
      <c r="G20" s="84">
        <v>5</v>
      </c>
      <c r="H20" s="85">
        <v>5</v>
      </c>
      <c r="I20" s="86">
        <v>345.7</v>
      </c>
    </row>
    <row r="21" spans="1:9" x14ac:dyDescent="0.25">
      <c r="A21" s="104" t="s">
        <v>368</v>
      </c>
      <c r="B21" s="105" t="s">
        <v>205</v>
      </c>
      <c r="C21" s="105" t="s">
        <v>593</v>
      </c>
      <c r="D21" s="106">
        <v>42577</v>
      </c>
      <c r="E21" s="106">
        <v>42933</v>
      </c>
      <c r="F21" s="105" t="s">
        <v>601</v>
      </c>
      <c r="G21" s="84">
        <v>1</v>
      </c>
      <c r="H21" s="85">
        <v>1</v>
      </c>
      <c r="I21" s="86">
        <v>15</v>
      </c>
    </row>
    <row r="22" spans="1:9" x14ac:dyDescent="0.25">
      <c r="A22" s="104" t="s">
        <v>544</v>
      </c>
      <c r="B22" s="105" t="s">
        <v>205</v>
      </c>
      <c r="C22" s="105" t="s">
        <v>436</v>
      </c>
      <c r="D22" s="106">
        <v>42835</v>
      </c>
      <c r="E22" s="106">
        <v>42898</v>
      </c>
      <c r="F22" s="105" t="s">
        <v>601</v>
      </c>
      <c r="G22" s="84">
        <v>3</v>
      </c>
      <c r="H22" s="85">
        <v>3</v>
      </c>
      <c r="I22" s="86">
        <v>6.87</v>
      </c>
    </row>
    <row r="23" spans="1:9" x14ac:dyDescent="0.25">
      <c r="A23" s="104" t="s">
        <v>553</v>
      </c>
      <c r="B23" s="105" t="s">
        <v>205</v>
      </c>
      <c r="C23" s="105" t="s">
        <v>436</v>
      </c>
      <c r="D23" s="106">
        <v>42835</v>
      </c>
      <c r="E23" s="106">
        <v>42898</v>
      </c>
      <c r="F23" s="105" t="s">
        <v>601</v>
      </c>
      <c r="G23" s="84">
        <v>5</v>
      </c>
      <c r="H23" s="85">
        <v>5</v>
      </c>
      <c r="I23" s="86">
        <v>10.85</v>
      </c>
    </row>
    <row r="24" spans="1:9" ht="45" x14ac:dyDescent="0.25">
      <c r="A24" s="104" t="s">
        <v>558</v>
      </c>
      <c r="B24" s="105" t="s">
        <v>205</v>
      </c>
      <c r="C24" s="105" t="s">
        <v>431</v>
      </c>
      <c r="D24" s="106">
        <v>42835</v>
      </c>
      <c r="E24" s="106">
        <v>43031</v>
      </c>
      <c r="F24" s="105" t="s">
        <v>601</v>
      </c>
      <c r="G24" s="84">
        <v>32</v>
      </c>
      <c r="H24" s="85">
        <v>32</v>
      </c>
      <c r="I24" s="86">
        <v>157.76</v>
      </c>
    </row>
    <row r="25" spans="1:9" ht="30.75" thickBot="1" x14ac:dyDescent="0.3">
      <c r="A25" s="104" t="s">
        <v>561</v>
      </c>
      <c r="B25" s="105" t="s">
        <v>205</v>
      </c>
      <c r="C25" s="105" t="s">
        <v>431</v>
      </c>
      <c r="D25" s="106">
        <v>42835</v>
      </c>
      <c r="E25" s="106">
        <v>43031</v>
      </c>
      <c r="F25" s="105" t="s">
        <v>601</v>
      </c>
      <c r="G25" s="84">
        <v>43</v>
      </c>
      <c r="H25" s="85">
        <v>43</v>
      </c>
      <c r="I25" s="86">
        <v>21.5</v>
      </c>
    </row>
    <row r="26" spans="1:9" ht="16.5" thickTop="1" thickBot="1" x14ac:dyDescent="0.3">
      <c r="A26" s="107" t="s">
        <v>199</v>
      </c>
      <c r="B26" s="108"/>
      <c r="C26" s="108"/>
      <c r="D26" s="108"/>
      <c r="E26" s="108"/>
      <c r="F26" s="109"/>
      <c r="G26" s="88">
        <v>336</v>
      </c>
      <c r="H26" s="96">
        <v>336</v>
      </c>
      <c r="I26" s="89">
        <v>2509.12</v>
      </c>
    </row>
    <row r="27" spans="1:9" ht="15.75" thickTop="1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ht="15.75" thickBot="1" x14ac:dyDescent="0.3">
      <c r="B85"/>
      <c r="C85"/>
      <c r="D85"/>
      <c r="E85"/>
    </row>
    <row r="86" spans="2:5" ht="16.5" thickTop="1" thickBot="1" x14ac:dyDescent="0.3">
      <c r="B86"/>
      <c r="C86"/>
      <c r="D86"/>
      <c r="E86"/>
    </row>
    <row r="87" spans="2:5" ht="15.75" thickTop="1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fezbDxzhQVcBZrXBcKZYNeIDVz7F/JW7kvI/9/mg2z0d2zzUy0YPou2g26JXU5SSEIhFNtn+zyD+9heF09eM0g==" saltValue="eVPAoQ7ER96mHCrGY4sqU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574</v>
      </c>
      <c r="B1" s="78"/>
      <c r="G1" s="217"/>
    </row>
    <row r="2" spans="1:12" ht="16.5" thickTop="1" thickBot="1" x14ac:dyDescent="0.3">
      <c r="A2" s="133" t="s">
        <v>3</v>
      </c>
      <c r="B2" s="111">
        <v>220600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35.75" thickTop="1" x14ac:dyDescent="0.25">
      <c r="A5" s="104" t="s">
        <v>539</v>
      </c>
      <c r="B5" s="105">
        <v>402</v>
      </c>
      <c r="C5" s="105" t="s">
        <v>599</v>
      </c>
      <c r="D5" s="106">
        <v>42577</v>
      </c>
      <c r="E5" s="106">
        <v>42942</v>
      </c>
      <c r="F5" s="105" t="s">
        <v>601</v>
      </c>
      <c r="G5" s="80">
        <v>2</v>
      </c>
      <c r="H5" s="81">
        <v>2</v>
      </c>
      <c r="I5" s="82">
        <v>593.98</v>
      </c>
      <c r="J5"/>
      <c r="L5"/>
    </row>
    <row r="6" spans="1:12" s="83" customFormat="1" ht="30" x14ac:dyDescent="0.25">
      <c r="A6" s="104" t="s">
        <v>284</v>
      </c>
      <c r="B6" s="105">
        <v>402</v>
      </c>
      <c r="C6" s="105" t="s">
        <v>595</v>
      </c>
      <c r="D6" s="106">
        <v>42577</v>
      </c>
      <c r="E6" s="106">
        <v>42940</v>
      </c>
      <c r="F6" s="105" t="s">
        <v>601</v>
      </c>
      <c r="G6" s="84">
        <v>1</v>
      </c>
      <c r="H6" s="85">
        <v>1</v>
      </c>
      <c r="I6" s="86">
        <v>457.9</v>
      </c>
      <c r="K6"/>
    </row>
    <row r="7" spans="1:12" s="83" customFormat="1" ht="45" x14ac:dyDescent="0.25">
      <c r="A7" s="104" t="s">
        <v>546</v>
      </c>
      <c r="B7" s="105">
        <v>402</v>
      </c>
      <c r="C7" s="105" t="s">
        <v>594</v>
      </c>
      <c r="D7" s="106">
        <v>42577</v>
      </c>
      <c r="E7" s="106">
        <v>42934</v>
      </c>
      <c r="F7" s="105" t="s">
        <v>601</v>
      </c>
      <c r="G7" s="84">
        <v>2</v>
      </c>
      <c r="H7" s="85">
        <v>2</v>
      </c>
      <c r="I7" s="86">
        <v>50</v>
      </c>
    </row>
    <row r="8" spans="1:12" s="87" customFormat="1" x14ac:dyDescent="0.25">
      <c r="A8" s="104" t="s">
        <v>548</v>
      </c>
      <c r="B8" s="105">
        <v>402</v>
      </c>
      <c r="C8" s="105" t="s">
        <v>596</v>
      </c>
      <c r="D8" s="106">
        <v>42577</v>
      </c>
      <c r="E8" s="106">
        <v>42970</v>
      </c>
      <c r="F8" s="105" t="s">
        <v>601</v>
      </c>
      <c r="G8" s="84">
        <v>10</v>
      </c>
      <c r="H8" s="85">
        <v>10</v>
      </c>
      <c r="I8" s="86">
        <v>216.5</v>
      </c>
    </row>
    <row r="9" spans="1:12" s="87" customFormat="1" ht="30" x14ac:dyDescent="0.25">
      <c r="A9" s="104" t="s">
        <v>559</v>
      </c>
      <c r="B9" s="105">
        <v>402</v>
      </c>
      <c r="C9" s="105" t="s">
        <v>591</v>
      </c>
      <c r="D9" s="106">
        <v>42577</v>
      </c>
      <c r="E9" s="106">
        <v>42940</v>
      </c>
      <c r="F9" s="105" t="s">
        <v>601</v>
      </c>
      <c r="G9" s="84">
        <v>2</v>
      </c>
      <c r="H9" s="85">
        <v>2</v>
      </c>
      <c r="I9" s="86">
        <v>138.28</v>
      </c>
    </row>
    <row r="10" spans="1:12" s="90" customFormat="1" x14ac:dyDescent="0.25">
      <c r="A10" s="104" t="s">
        <v>369</v>
      </c>
      <c r="B10" s="105">
        <v>402</v>
      </c>
      <c r="C10" s="105" t="s">
        <v>593</v>
      </c>
      <c r="D10" s="106">
        <v>42577</v>
      </c>
      <c r="E10" s="106">
        <v>42933</v>
      </c>
      <c r="F10" s="105" t="s">
        <v>601</v>
      </c>
      <c r="G10" s="84">
        <v>10</v>
      </c>
      <c r="H10" s="85">
        <v>10</v>
      </c>
      <c r="I10" s="86">
        <v>120</v>
      </c>
    </row>
    <row r="11" spans="1:12" ht="45" x14ac:dyDescent="0.25">
      <c r="A11" s="104" t="s">
        <v>266</v>
      </c>
      <c r="B11" s="105">
        <v>402</v>
      </c>
      <c r="C11" s="105" t="s">
        <v>589</v>
      </c>
      <c r="D11" s="106">
        <v>42577</v>
      </c>
      <c r="E11" s="106">
        <v>42976</v>
      </c>
      <c r="F11" s="105" t="s">
        <v>601</v>
      </c>
      <c r="G11" s="84">
        <v>5</v>
      </c>
      <c r="H11" s="85">
        <v>5</v>
      </c>
      <c r="I11" s="86">
        <v>32.35</v>
      </c>
    </row>
    <row r="12" spans="1:12" ht="30" x14ac:dyDescent="0.25">
      <c r="A12" s="104" t="s">
        <v>297</v>
      </c>
      <c r="B12" s="105">
        <v>402</v>
      </c>
      <c r="C12" s="105" t="s">
        <v>589</v>
      </c>
      <c r="D12" s="106">
        <v>42577</v>
      </c>
      <c r="E12" s="106">
        <v>42976</v>
      </c>
      <c r="F12" s="105" t="s">
        <v>601</v>
      </c>
      <c r="G12" s="84">
        <v>10</v>
      </c>
      <c r="H12" s="85">
        <v>10</v>
      </c>
      <c r="I12" s="86">
        <v>33.5</v>
      </c>
    </row>
    <row r="13" spans="1:12" ht="30" x14ac:dyDescent="0.25">
      <c r="A13" s="104" t="s">
        <v>299</v>
      </c>
      <c r="B13" s="105">
        <v>402</v>
      </c>
      <c r="C13" s="105" t="s">
        <v>589</v>
      </c>
      <c r="D13" s="106">
        <v>42577</v>
      </c>
      <c r="E13" s="106">
        <v>42976</v>
      </c>
      <c r="F13" s="105" t="s">
        <v>601</v>
      </c>
      <c r="G13" s="84">
        <v>10</v>
      </c>
      <c r="H13" s="85">
        <v>10</v>
      </c>
      <c r="I13" s="86">
        <v>51.2</v>
      </c>
    </row>
    <row r="14" spans="1:12" ht="30" x14ac:dyDescent="0.25">
      <c r="A14" s="104" t="s">
        <v>301</v>
      </c>
      <c r="B14" s="105">
        <v>402</v>
      </c>
      <c r="C14" s="105" t="s">
        <v>589</v>
      </c>
      <c r="D14" s="106">
        <v>42577</v>
      </c>
      <c r="E14" s="106">
        <v>42976</v>
      </c>
      <c r="F14" s="105" t="s">
        <v>601</v>
      </c>
      <c r="G14" s="84">
        <v>10</v>
      </c>
      <c r="H14" s="85">
        <v>10</v>
      </c>
      <c r="I14" s="86">
        <v>44.900000000000006</v>
      </c>
    </row>
    <row r="15" spans="1:12" ht="30" x14ac:dyDescent="0.25">
      <c r="A15" s="104" t="s">
        <v>561</v>
      </c>
      <c r="B15" s="105">
        <v>402</v>
      </c>
      <c r="C15" s="105" t="s">
        <v>591</v>
      </c>
      <c r="D15" s="106">
        <v>42577</v>
      </c>
      <c r="E15" s="106">
        <v>42940</v>
      </c>
      <c r="F15" s="105" t="s">
        <v>601</v>
      </c>
      <c r="G15" s="84">
        <v>100</v>
      </c>
      <c r="H15" s="85">
        <v>100</v>
      </c>
      <c r="I15" s="86">
        <v>50</v>
      </c>
    </row>
    <row r="16" spans="1:12" ht="30.75" thickBot="1" x14ac:dyDescent="0.3">
      <c r="A16" s="104" t="s">
        <v>261</v>
      </c>
      <c r="B16" s="105">
        <v>402</v>
      </c>
      <c r="C16" s="105" t="s">
        <v>589</v>
      </c>
      <c r="D16" s="106">
        <v>42577</v>
      </c>
      <c r="E16" s="106">
        <v>42976</v>
      </c>
      <c r="F16" s="105" t="s">
        <v>601</v>
      </c>
      <c r="G16" s="84">
        <v>5</v>
      </c>
      <c r="H16" s="85">
        <v>5</v>
      </c>
      <c r="I16" s="86">
        <v>29.65</v>
      </c>
    </row>
    <row r="17" spans="1:9" ht="16.5" thickTop="1" thickBot="1" x14ac:dyDescent="0.3">
      <c r="A17" s="107" t="s">
        <v>199</v>
      </c>
      <c r="B17" s="108"/>
      <c r="C17" s="108"/>
      <c r="D17" s="108"/>
      <c r="E17" s="108"/>
      <c r="F17" s="109"/>
      <c r="G17" s="88">
        <v>167</v>
      </c>
      <c r="H17" s="96">
        <v>167</v>
      </c>
      <c r="I17" s="89">
        <v>1818.2600000000002</v>
      </c>
    </row>
    <row r="18" spans="1:9" ht="15.75" thickTop="1" x14ac:dyDescent="0.25">
      <c r="B18"/>
      <c r="C18"/>
      <c r="D18"/>
      <c r="E18"/>
    </row>
    <row r="19" spans="1:9" x14ac:dyDescent="0.25">
      <c r="B19"/>
      <c r="C19"/>
      <c r="D19"/>
      <c r="E19"/>
    </row>
    <row r="20" spans="1:9" x14ac:dyDescent="0.25">
      <c r="B20"/>
      <c r="C20"/>
      <c r="D20"/>
      <c r="E20"/>
    </row>
    <row r="21" spans="1:9" x14ac:dyDescent="0.25">
      <c r="B21"/>
      <c r="C21"/>
      <c r="D21"/>
      <c r="E21"/>
    </row>
    <row r="22" spans="1:9" x14ac:dyDescent="0.25">
      <c r="B22"/>
      <c r="C22"/>
      <c r="D22"/>
      <c r="E22"/>
    </row>
    <row r="23" spans="1:9" x14ac:dyDescent="0.25">
      <c r="B23"/>
      <c r="C23"/>
      <c r="D23"/>
      <c r="E23"/>
    </row>
    <row r="24" spans="1:9" x14ac:dyDescent="0.25">
      <c r="B24"/>
      <c r="C24"/>
      <c r="D24"/>
      <c r="E24"/>
    </row>
    <row r="25" spans="1:9" x14ac:dyDescent="0.25">
      <c r="B25"/>
      <c r="C25"/>
      <c r="D25"/>
      <c r="E25"/>
    </row>
    <row r="26" spans="1:9" x14ac:dyDescent="0.25">
      <c r="B26"/>
      <c r="C26"/>
      <c r="D26"/>
      <c r="E26"/>
    </row>
    <row r="27" spans="1:9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ht="15.75" thickBot="1" x14ac:dyDescent="0.3">
      <c r="B73"/>
      <c r="C73"/>
      <c r="D73"/>
      <c r="E73"/>
    </row>
    <row r="74" spans="2:5" ht="16.5" thickTop="1" thickBot="1" x14ac:dyDescent="0.3">
      <c r="B74"/>
      <c r="C74"/>
      <c r="D74"/>
      <c r="E74"/>
    </row>
    <row r="75" spans="2:5" ht="15.75" thickTop="1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TOfot21mNrUaQqd2qP439nRqogkdVbMwjz81/rvyZqPq41dA/REkXSW9pQplmppJOUbgmcVUI7jnu/2xY3gPpA==" saltValue="Qo73J47rxydAEXEgjSGQi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387</v>
      </c>
      <c r="B1" s="78"/>
      <c r="G1" s="217"/>
    </row>
    <row r="2" spans="1:12" ht="16.5" thickTop="1" thickBot="1" x14ac:dyDescent="0.3">
      <c r="A2" s="133" t="s">
        <v>3</v>
      </c>
      <c r="B2" s="111">
        <v>230100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488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2</v>
      </c>
      <c r="H5" s="81">
        <v>2</v>
      </c>
      <c r="I5" s="82">
        <v>166.22</v>
      </c>
      <c r="J5"/>
      <c r="L5"/>
    </row>
    <row r="6" spans="1:12" s="83" customFormat="1" x14ac:dyDescent="0.25">
      <c r="A6" s="104" t="s">
        <v>443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5</v>
      </c>
      <c r="H6" s="85">
        <v>5</v>
      </c>
      <c r="I6" s="86">
        <v>49.25</v>
      </c>
      <c r="K6"/>
    </row>
    <row r="7" spans="1:12" s="83" customFormat="1" ht="30" x14ac:dyDescent="0.25">
      <c r="A7" s="104" t="s">
        <v>481</v>
      </c>
      <c r="B7" s="105" t="s">
        <v>205</v>
      </c>
      <c r="C7" s="105" t="s">
        <v>401</v>
      </c>
      <c r="D7" s="106">
        <v>42830</v>
      </c>
      <c r="E7" s="106">
        <v>42859</v>
      </c>
      <c r="F7" s="105" t="s">
        <v>601</v>
      </c>
      <c r="G7" s="84">
        <v>5</v>
      </c>
      <c r="H7" s="85">
        <v>5</v>
      </c>
      <c r="I7" s="86">
        <v>46.5</v>
      </c>
    </row>
    <row r="8" spans="1:12" s="87" customFormat="1" x14ac:dyDescent="0.25">
      <c r="A8" s="104" t="s">
        <v>478</v>
      </c>
      <c r="B8" s="105" t="s">
        <v>205</v>
      </c>
      <c r="C8" s="105" t="s">
        <v>402</v>
      </c>
      <c r="D8" s="106">
        <v>42830</v>
      </c>
      <c r="E8" s="106">
        <v>42859</v>
      </c>
      <c r="F8" s="105" t="s">
        <v>601</v>
      </c>
      <c r="G8" s="84">
        <v>10</v>
      </c>
      <c r="H8" s="85">
        <v>10</v>
      </c>
      <c r="I8" s="86">
        <v>33</v>
      </c>
    </row>
    <row r="9" spans="1:12" s="87" customFormat="1" ht="30" x14ac:dyDescent="0.25">
      <c r="A9" s="104" t="s">
        <v>446</v>
      </c>
      <c r="B9" s="105" t="s">
        <v>205</v>
      </c>
      <c r="C9" s="105" t="s">
        <v>402</v>
      </c>
      <c r="D9" s="106">
        <v>42830</v>
      </c>
      <c r="E9" s="106">
        <v>42859</v>
      </c>
      <c r="F9" s="105" t="s">
        <v>601</v>
      </c>
      <c r="G9" s="84">
        <v>5</v>
      </c>
      <c r="H9" s="85">
        <v>5</v>
      </c>
      <c r="I9" s="86">
        <v>24.35</v>
      </c>
    </row>
    <row r="10" spans="1:12" s="90" customFormat="1" x14ac:dyDescent="0.25">
      <c r="A10" s="104" t="s">
        <v>487</v>
      </c>
      <c r="B10" s="105" t="s">
        <v>205</v>
      </c>
      <c r="C10" s="105" t="s">
        <v>393</v>
      </c>
      <c r="D10" s="106">
        <v>42830</v>
      </c>
      <c r="E10" s="106">
        <v>42920</v>
      </c>
      <c r="F10" s="105" t="s">
        <v>601</v>
      </c>
      <c r="G10" s="84">
        <v>10</v>
      </c>
      <c r="H10" s="85">
        <v>10</v>
      </c>
      <c r="I10" s="86">
        <v>39</v>
      </c>
    </row>
    <row r="11" spans="1:12" ht="30" x14ac:dyDescent="0.25">
      <c r="A11" s="104" t="s">
        <v>540</v>
      </c>
      <c r="B11" s="105" t="s">
        <v>205</v>
      </c>
      <c r="C11" s="105" t="s">
        <v>433</v>
      </c>
      <c r="D11" s="106">
        <v>42835</v>
      </c>
      <c r="E11" s="106">
        <v>42905</v>
      </c>
      <c r="F11" s="105" t="s">
        <v>601</v>
      </c>
      <c r="G11" s="84">
        <v>1</v>
      </c>
      <c r="H11" s="85">
        <v>1</v>
      </c>
      <c r="I11" s="86">
        <v>113.5</v>
      </c>
    </row>
    <row r="12" spans="1:12" ht="30" x14ac:dyDescent="0.25">
      <c r="A12" s="104" t="s">
        <v>562</v>
      </c>
      <c r="B12" s="105" t="s">
        <v>205</v>
      </c>
      <c r="C12" s="105" t="s">
        <v>433</v>
      </c>
      <c r="D12" s="106">
        <v>42835</v>
      </c>
      <c r="E12" s="106">
        <v>42905</v>
      </c>
      <c r="F12" s="105" t="s">
        <v>601</v>
      </c>
      <c r="G12" s="84">
        <v>1</v>
      </c>
      <c r="H12" s="85">
        <v>1</v>
      </c>
      <c r="I12" s="86">
        <v>115</v>
      </c>
    </row>
    <row r="13" spans="1:12" ht="30" x14ac:dyDescent="0.25">
      <c r="A13" s="104" t="s">
        <v>564</v>
      </c>
      <c r="B13" s="105" t="s">
        <v>205</v>
      </c>
      <c r="C13" s="105" t="s">
        <v>433</v>
      </c>
      <c r="D13" s="106">
        <v>42835</v>
      </c>
      <c r="E13" s="106">
        <v>42905</v>
      </c>
      <c r="F13" s="105" t="s">
        <v>601</v>
      </c>
      <c r="G13" s="84">
        <v>1</v>
      </c>
      <c r="H13" s="85">
        <v>1</v>
      </c>
      <c r="I13" s="86">
        <v>110.41</v>
      </c>
    </row>
    <row r="14" spans="1:12" ht="30" x14ac:dyDescent="0.25">
      <c r="A14" s="104" t="s">
        <v>565</v>
      </c>
      <c r="B14" s="105" t="s">
        <v>205</v>
      </c>
      <c r="C14" s="105" t="s">
        <v>433</v>
      </c>
      <c r="D14" s="106">
        <v>42835</v>
      </c>
      <c r="E14" s="106">
        <v>42905</v>
      </c>
      <c r="F14" s="105" t="s">
        <v>601</v>
      </c>
      <c r="G14" s="84">
        <v>1</v>
      </c>
      <c r="H14" s="85">
        <v>1</v>
      </c>
      <c r="I14" s="86">
        <v>110</v>
      </c>
    </row>
    <row r="15" spans="1:12" ht="30" x14ac:dyDescent="0.25">
      <c r="A15" s="104" t="s">
        <v>566</v>
      </c>
      <c r="B15" s="105" t="s">
        <v>205</v>
      </c>
      <c r="C15" s="105" t="s">
        <v>433</v>
      </c>
      <c r="D15" s="106">
        <v>42835</v>
      </c>
      <c r="E15" s="106">
        <v>42905</v>
      </c>
      <c r="F15" s="105" t="s">
        <v>601</v>
      </c>
      <c r="G15" s="84">
        <v>1</v>
      </c>
      <c r="H15" s="85">
        <v>1</v>
      </c>
      <c r="I15" s="86">
        <v>204.5</v>
      </c>
    </row>
    <row r="16" spans="1:12" ht="30" x14ac:dyDescent="0.25">
      <c r="A16" s="104" t="s">
        <v>567</v>
      </c>
      <c r="B16" s="105" t="s">
        <v>205</v>
      </c>
      <c r="C16" s="105" t="s">
        <v>433</v>
      </c>
      <c r="D16" s="106">
        <v>42835</v>
      </c>
      <c r="E16" s="106">
        <v>42905</v>
      </c>
      <c r="F16" s="105" t="s">
        <v>601</v>
      </c>
      <c r="G16" s="84">
        <v>1</v>
      </c>
      <c r="H16" s="85">
        <v>1</v>
      </c>
      <c r="I16" s="86">
        <v>106.5</v>
      </c>
    </row>
    <row r="17" spans="1:9" x14ac:dyDescent="0.25">
      <c r="A17" s="104" t="s">
        <v>368</v>
      </c>
      <c r="B17" s="105" t="s">
        <v>205</v>
      </c>
      <c r="C17" s="105" t="s">
        <v>593</v>
      </c>
      <c r="D17" s="106">
        <v>42577</v>
      </c>
      <c r="E17" s="106">
        <v>42933</v>
      </c>
      <c r="F17" s="105" t="s">
        <v>601</v>
      </c>
      <c r="G17" s="84">
        <v>10</v>
      </c>
      <c r="H17" s="85">
        <v>10</v>
      </c>
      <c r="I17" s="86">
        <v>150</v>
      </c>
    </row>
    <row r="18" spans="1:9" x14ac:dyDescent="0.25">
      <c r="A18" s="104" t="s">
        <v>369</v>
      </c>
      <c r="B18" s="105" t="s">
        <v>205</v>
      </c>
      <c r="C18" s="105" t="s">
        <v>593</v>
      </c>
      <c r="D18" s="106">
        <v>42577</v>
      </c>
      <c r="E18" s="106">
        <v>42933</v>
      </c>
      <c r="F18" s="105" t="s">
        <v>601</v>
      </c>
      <c r="G18" s="84">
        <v>10</v>
      </c>
      <c r="H18" s="85">
        <v>1</v>
      </c>
      <c r="I18" s="86">
        <v>12</v>
      </c>
    </row>
    <row r="19" spans="1:9" x14ac:dyDescent="0.25">
      <c r="A19" s="104" t="s">
        <v>554</v>
      </c>
      <c r="B19" s="105" t="s">
        <v>205</v>
      </c>
      <c r="C19" s="105" t="s">
        <v>437</v>
      </c>
      <c r="D19" s="106">
        <v>42835</v>
      </c>
      <c r="E19" s="106">
        <v>42892</v>
      </c>
      <c r="F19" s="105" t="s">
        <v>601</v>
      </c>
      <c r="G19" s="84">
        <v>10</v>
      </c>
      <c r="H19" s="85">
        <v>10</v>
      </c>
      <c r="I19" s="86">
        <v>39.900000000000006</v>
      </c>
    </row>
    <row r="20" spans="1:9" ht="30.75" thickBot="1" x14ac:dyDescent="0.3">
      <c r="A20" s="104" t="s">
        <v>563</v>
      </c>
      <c r="B20" s="105" t="s">
        <v>205</v>
      </c>
      <c r="C20" s="105" t="s">
        <v>433</v>
      </c>
      <c r="D20" s="106">
        <v>42835</v>
      </c>
      <c r="E20" s="106">
        <v>42905</v>
      </c>
      <c r="F20" s="105" t="s">
        <v>601</v>
      </c>
      <c r="G20" s="84">
        <v>1</v>
      </c>
      <c r="H20" s="85">
        <v>1</v>
      </c>
      <c r="I20" s="86">
        <v>118</v>
      </c>
    </row>
    <row r="21" spans="1:9" ht="16.5" thickTop="1" thickBot="1" x14ac:dyDescent="0.3">
      <c r="A21" s="107" t="s">
        <v>199</v>
      </c>
      <c r="B21" s="108"/>
      <c r="C21" s="108"/>
      <c r="D21" s="108"/>
      <c r="E21" s="108"/>
      <c r="F21" s="109"/>
      <c r="G21" s="88">
        <v>74</v>
      </c>
      <c r="H21" s="96">
        <v>65</v>
      </c>
      <c r="I21" s="89">
        <v>1438.13</v>
      </c>
    </row>
    <row r="22" spans="1:9" ht="15.75" thickTop="1" x14ac:dyDescent="0.25">
      <c r="B22"/>
      <c r="C22"/>
      <c r="D22"/>
      <c r="E22"/>
    </row>
    <row r="23" spans="1:9" x14ac:dyDescent="0.25">
      <c r="B23"/>
      <c r="C23"/>
      <c r="D23"/>
      <c r="E23"/>
    </row>
    <row r="24" spans="1:9" x14ac:dyDescent="0.25">
      <c r="B24"/>
      <c r="C24"/>
      <c r="D24"/>
      <c r="E24"/>
    </row>
    <row r="25" spans="1:9" x14ac:dyDescent="0.25">
      <c r="B25"/>
      <c r="C25"/>
      <c r="D25"/>
      <c r="E25"/>
    </row>
    <row r="26" spans="1:9" x14ac:dyDescent="0.25">
      <c r="B26"/>
      <c r="C26"/>
      <c r="D26"/>
      <c r="E26"/>
    </row>
    <row r="27" spans="1:9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/Foh3qyVJNCK1eGpKI/4pChuJGUs8CRo8h0zGP+dvH5SMb+csBeIkydzmIGEeJg0YjUi3geY8s2973kZ6jdptA==" saltValue="gXcPGDnvhhpxN1Sye0Na1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386</v>
      </c>
      <c r="B1" s="78"/>
      <c r="G1" s="217"/>
    </row>
    <row r="2" spans="1:12" ht="16.5" thickTop="1" thickBot="1" x14ac:dyDescent="0.3">
      <c r="A2" s="133" t="s">
        <v>3</v>
      </c>
      <c r="B2" s="111">
        <v>260000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30.75" thickTop="1" x14ac:dyDescent="0.25">
      <c r="A5" s="104" t="s">
        <v>463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2</v>
      </c>
      <c r="H5" s="81">
        <v>2</v>
      </c>
      <c r="I5" s="82">
        <v>78</v>
      </c>
      <c r="J5"/>
      <c r="L5"/>
    </row>
    <row r="6" spans="1:12" s="83" customFormat="1" x14ac:dyDescent="0.25">
      <c r="A6" s="104" t="s">
        <v>476</v>
      </c>
      <c r="B6" s="105" t="s">
        <v>205</v>
      </c>
      <c r="C6" s="105" t="s">
        <v>393</v>
      </c>
      <c r="D6" s="106">
        <v>42830</v>
      </c>
      <c r="E6" s="106">
        <v>42920</v>
      </c>
      <c r="F6" s="105" t="s">
        <v>601</v>
      </c>
      <c r="G6" s="84">
        <v>10</v>
      </c>
      <c r="H6" s="85">
        <v>10</v>
      </c>
      <c r="I6" s="86">
        <v>45.099999999999994</v>
      </c>
      <c r="K6"/>
    </row>
    <row r="7" spans="1:12" s="83" customFormat="1" ht="45" x14ac:dyDescent="0.25">
      <c r="A7" s="104" t="s">
        <v>546</v>
      </c>
      <c r="B7" s="105" t="s">
        <v>205</v>
      </c>
      <c r="C7" s="105" t="s">
        <v>432</v>
      </c>
      <c r="D7" s="106">
        <v>42835</v>
      </c>
      <c r="E7" s="106">
        <v>42914</v>
      </c>
      <c r="F7" s="105" t="s">
        <v>601</v>
      </c>
      <c r="G7" s="84">
        <v>1</v>
      </c>
      <c r="H7" s="85">
        <v>1</v>
      </c>
      <c r="I7" s="86">
        <v>25</v>
      </c>
    </row>
    <row r="8" spans="1:12" s="87" customFormat="1" ht="30.75" thickBot="1" x14ac:dyDescent="0.3">
      <c r="A8" s="104" t="s">
        <v>559</v>
      </c>
      <c r="B8" s="105" t="s">
        <v>205</v>
      </c>
      <c r="C8" s="105" t="s">
        <v>431</v>
      </c>
      <c r="D8" s="106">
        <v>42835</v>
      </c>
      <c r="E8" s="106">
        <v>43031</v>
      </c>
      <c r="F8" s="105" t="s">
        <v>601</v>
      </c>
      <c r="G8" s="84">
        <v>2</v>
      </c>
      <c r="H8" s="85">
        <v>2</v>
      </c>
      <c r="I8" s="86">
        <v>138.28</v>
      </c>
    </row>
    <row r="9" spans="1:12" s="87" customFormat="1" ht="16.5" thickTop="1" thickBot="1" x14ac:dyDescent="0.3">
      <c r="A9" s="107" t="s">
        <v>199</v>
      </c>
      <c r="B9" s="108"/>
      <c r="C9" s="108"/>
      <c r="D9" s="108"/>
      <c r="E9" s="108"/>
      <c r="F9" s="109"/>
      <c r="G9" s="88">
        <v>15</v>
      </c>
      <c r="H9" s="96">
        <v>15</v>
      </c>
      <c r="I9" s="89">
        <v>286.38</v>
      </c>
    </row>
    <row r="10" spans="1:12" s="90" customFormat="1" ht="15.75" thickTop="1" x14ac:dyDescent="0.25">
      <c r="A10"/>
      <c r="B10"/>
      <c r="C10"/>
      <c r="D10"/>
      <c r="E10"/>
      <c r="F10"/>
      <c r="G10"/>
      <c r="H10"/>
      <c r="I10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ht="15.75" thickBot="1" x14ac:dyDescent="0.3">
      <c r="B83"/>
      <c r="C83"/>
      <c r="D83"/>
      <c r="E83"/>
    </row>
    <row r="84" spans="2:5" ht="16.5" thickTop="1" thickBot="1" x14ac:dyDescent="0.3">
      <c r="B84"/>
      <c r="C84"/>
      <c r="D84"/>
      <c r="E84"/>
    </row>
    <row r="85" spans="2:5" ht="15.75" thickTop="1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KKH2KiTL7/40XPJ39smmfpycjo+5cAwISKkVcsIGkEQKo2kHVzxXwowGWDjKRE9G1yuuhZpW6R1uNIJi33aWCw==" saltValue="Fb9Bs6Ru4rI3EfIZVI71b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405</v>
      </c>
      <c r="B1" s="78"/>
      <c r="G1" s="217"/>
    </row>
    <row r="2" spans="1:12" ht="16.5" thickTop="1" thickBot="1" x14ac:dyDescent="0.3">
      <c r="A2" s="133" t="s">
        <v>3</v>
      </c>
      <c r="B2" s="111">
        <v>260100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521</v>
      </c>
      <c r="B5" s="105" t="s">
        <v>205</v>
      </c>
      <c r="C5" s="105" t="s">
        <v>416</v>
      </c>
      <c r="D5" s="106">
        <v>42759</v>
      </c>
      <c r="E5" s="106">
        <v>42838</v>
      </c>
      <c r="F5" s="105" t="s">
        <v>601</v>
      </c>
      <c r="G5" s="80">
        <v>3</v>
      </c>
      <c r="H5" s="81">
        <v>3</v>
      </c>
      <c r="I5" s="82">
        <v>36</v>
      </c>
      <c r="J5"/>
      <c r="L5"/>
    </row>
    <row r="6" spans="1:12" s="83" customFormat="1" ht="30.75" thickBot="1" x14ac:dyDescent="0.3">
      <c r="A6" s="104" t="s">
        <v>492</v>
      </c>
      <c r="B6" s="105" t="s">
        <v>205</v>
      </c>
      <c r="C6" s="105" t="s">
        <v>416</v>
      </c>
      <c r="D6" s="106">
        <v>42759</v>
      </c>
      <c r="E6" s="106">
        <v>42838</v>
      </c>
      <c r="F6" s="105" t="s">
        <v>601</v>
      </c>
      <c r="G6" s="84">
        <v>3</v>
      </c>
      <c r="H6" s="85">
        <v>3</v>
      </c>
      <c r="I6" s="86">
        <v>21</v>
      </c>
      <c r="K6"/>
    </row>
    <row r="7" spans="1:12" s="83" customFormat="1" ht="16.5" thickTop="1" thickBot="1" x14ac:dyDescent="0.3">
      <c r="A7" s="107" t="s">
        <v>199</v>
      </c>
      <c r="B7" s="108"/>
      <c r="C7" s="108"/>
      <c r="D7" s="108"/>
      <c r="E7" s="108"/>
      <c r="F7" s="109"/>
      <c r="G7" s="88">
        <v>6</v>
      </c>
      <c r="H7" s="96">
        <v>6</v>
      </c>
      <c r="I7" s="89">
        <v>57</v>
      </c>
    </row>
    <row r="8" spans="1:12" s="87" customFormat="1" ht="15.75" thickTop="1" x14ac:dyDescent="0.25">
      <c r="A8"/>
      <c r="B8"/>
      <c r="C8"/>
      <c r="D8"/>
      <c r="E8"/>
      <c r="F8"/>
      <c r="G8"/>
      <c r="H8"/>
      <c r="I8"/>
    </row>
    <row r="9" spans="1:12" s="87" customFormat="1" x14ac:dyDescent="0.25">
      <c r="A9"/>
      <c r="B9"/>
      <c r="C9"/>
      <c r="D9"/>
      <c r="E9"/>
      <c r="F9"/>
      <c r="G9"/>
      <c r="H9"/>
      <c r="I9"/>
    </row>
    <row r="10" spans="1:12" s="90" customFormat="1" x14ac:dyDescent="0.25">
      <c r="A10"/>
      <c r="B10"/>
      <c r="C10"/>
      <c r="D10"/>
      <c r="E10"/>
      <c r="F10"/>
      <c r="G10"/>
      <c r="H10"/>
      <c r="I10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ht="15.75" thickBot="1" x14ac:dyDescent="0.3">
      <c r="B209"/>
      <c r="C209"/>
      <c r="D209"/>
      <c r="E209"/>
    </row>
    <row r="210" spans="2:5" ht="16.5" thickTop="1" thickBot="1" x14ac:dyDescent="0.3">
      <c r="B210"/>
      <c r="C210"/>
      <c r="D210"/>
      <c r="E210"/>
    </row>
    <row r="211" spans="2:5" ht="15.75" thickTop="1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qZoFXvBJRQ/uNe6FS934QnlvvicsU3XjJQLhJMOmzzEIM2OEUQf6F4O/d36AX58M3rE4Tlj+gYmtLxL8pzff+A==" saltValue="Sxgss7lXtjUJslOTBAiJp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406</v>
      </c>
      <c r="B1" s="78"/>
      <c r="G1" s="217"/>
    </row>
    <row r="2" spans="1:12" ht="16.5" thickTop="1" thickBot="1" x14ac:dyDescent="0.3">
      <c r="A2" s="133" t="s">
        <v>3</v>
      </c>
      <c r="B2" s="111">
        <v>260300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494</v>
      </c>
      <c r="B5" s="105" t="s">
        <v>205</v>
      </c>
      <c r="C5" s="105" t="s">
        <v>416</v>
      </c>
      <c r="D5" s="106">
        <v>42759</v>
      </c>
      <c r="E5" s="106">
        <v>42838</v>
      </c>
      <c r="F5" s="105" t="s">
        <v>601</v>
      </c>
      <c r="G5" s="80">
        <v>1</v>
      </c>
      <c r="H5" s="81">
        <v>1</v>
      </c>
      <c r="I5" s="82">
        <v>5.07</v>
      </c>
      <c r="J5"/>
      <c r="L5"/>
    </row>
    <row r="6" spans="1:12" s="83" customFormat="1" x14ac:dyDescent="0.25">
      <c r="A6" s="104" t="s">
        <v>438</v>
      </c>
      <c r="B6" s="105" t="s">
        <v>205</v>
      </c>
      <c r="C6" s="105" t="s">
        <v>416</v>
      </c>
      <c r="D6" s="106">
        <v>42759</v>
      </c>
      <c r="E6" s="106">
        <v>42838</v>
      </c>
      <c r="F6" s="105" t="s">
        <v>601</v>
      </c>
      <c r="G6" s="84">
        <v>1</v>
      </c>
      <c r="H6" s="85">
        <v>1</v>
      </c>
      <c r="I6" s="86">
        <v>6.88</v>
      </c>
      <c r="K6"/>
    </row>
    <row r="7" spans="1:12" s="83" customFormat="1" x14ac:dyDescent="0.25">
      <c r="A7" s="104" t="s">
        <v>443</v>
      </c>
      <c r="B7" s="105" t="s">
        <v>205</v>
      </c>
      <c r="C7" s="105" t="s">
        <v>416</v>
      </c>
      <c r="D7" s="106">
        <v>42759</v>
      </c>
      <c r="E7" s="106">
        <v>42838</v>
      </c>
      <c r="F7" s="105" t="s">
        <v>601</v>
      </c>
      <c r="G7" s="84">
        <v>3</v>
      </c>
      <c r="H7" s="85">
        <v>3</v>
      </c>
      <c r="I7" s="86">
        <v>29.549999999999997</v>
      </c>
    </row>
    <row r="8" spans="1:12" s="87" customFormat="1" x14ac:dyDescent="0.25">
      <c r="A8" s="104" t="s">
        <v>498</v>
      </c>
      <c r="B8" s="105" t="s">
        <v>205</v>
      </c>
      <c r="C8" s="105" t="s">
        <v>416</v>
      </c>
      <c r="D8" s="106">
        <v>42759</v>
      </c>
      <c r="E8" s="106">
        <v>42838</v>
      </c>
      <c r="F8" s="105" t="s">
        <v>601</v>
      </c>
      <c r="G8" s="84">
        <v>3</v>
      </c>
      <c r="H8" s="85">
        <v>3</v>
      </c>
      <c r="I8" s="86">
        <v>32.880000000000003</v>
      </c>
    </row>
    <row r="9" spans="1:12" s="87" customFormat="1" x14ac:dyDescent="0.25">
      <c r="A9" s="104" t="s">
        <v>506</v>
      </c>
      <c r="B9" s="105" t="s">
        <v>205</v>
      </c>
      <c r="C9" s="105" t="s">
        <v>416</v>
      </c>
      <c r="D9" s="106">
        <v>42759</v>
      </c>
      <c r="E9" s="106">
        <v>42838</v>
      </c>
      <c r="F9" s="105" t="s">
        <v>601</v>
      </c>
      <c r="G9" s="84">
        <v>6</v>
      </c>
      <c r="H9" s="85">
        <v>6</v>
      </c>
      <c r="I9" s="86">
        <v>29.04</v>
      </c>
    </row>
    <row r="10" spans="1:12" s="90" customFormat="1" ht="30" x14ac:dyDescent="0.25">
      <c r="A10" s="104" t="s">
        <v>452</v>
      </c>
      <c r="B10" s="105" t="s">
        <v>205</v>
      </c>
      <c r="C10" s="105" t="s">
        <v>412</v>
      </c>
      <c r="D10" s="106">
        <v>42759</v>
      </c>
      <c r="E10" s="106">
        <v>42913</v>
      </c>
      <c r="F10" s="105" t="s">
        <v>601</v>
      </c>
      <c r="G10" s="84">
        <v>1</v>
      </c>
      <c r="H10" s="85">
        <v>1</v>
      </c>
      <c r="I10" s="86">
        <v>204.99</v>
      </c>
    </row>
    <row r="11" spans="1:12" x14ac:dyDescent="0.25">
      <c r="A11" s="104" t="s">
        <v>514</v>
      </c>
      <c r="B11" s="105" t="s">
        <v>205</v>
      </c>
      <c r="C11" s="105" t="s">
        <v>416</v>
      </c>
      <c r="D11" s="106">
        <v>42759</v>
      </c>
      <c r="E11" s="106">
        <v>42838</v>
      </c>
      <c r="F11" s="105" t="s">
        <v>601</v>
      </c>
      <c r="G11" s="84">
        <v>1</v>
      </c>
      <c r="H11" s="85">
        <v>1</v>
      </c>
      <c r="I11" s="86">
        <v>18.95</v>
      </c>
    </row>
    <row r="12" spans="1:12" x14ac:dyDescent="0.25">
      <c r="A12" s="104" t="s">
        <v>524</v>
      </c>
      <c r="B12" s="105" t="s">
        <v>205</v>
      </c>
      <c r="C12" s="105" t="s">
        <v>416</v>
      </c>
      <c r="D12" s="106">
        <v>42759</v>
      </c>
      <c r="E12" s="106">
        <v>42838</v>
      </c>
      <c r="F12" s="105" t="s">
        <v>601</v>
      </c>
      <c r="G12" s="84">
        <v>10</v>
      </c>
      <c r="H12" s="85">
        <v>10</v>
      </c>
      <c r="I12" s="86">
        <v>39.300000000000004</v>
      </c>
    </row>
    <row r="13" spans="1:12" x14ac:dyDescent="0.25">
      <c r="A13" s="104" t="s">
        <v>522</v>
      </c>
      <c r="B13" s="105" t="s">
        <v>205</v>
      </c>
      <c r="C13" s="105" t="s">
        <v>416</v>
      </c>
      <c r="D13" s="106">
        <v>42759</v>
      </c>
      <c r="E13" s="106">
        <v>42838</v>
      </c>
      <c r="F13" s="105" t="s">
        <v>601</v>
      </c>
      <c r="G13" s="84">
        <v>1</v>
      </c>
      <c r="H13" s="85">
        <v>1</v>
      </c>
      <c r="I13" s="86">
        <v>22.55</v>
      </c>
    </row>
    <row r="14" spans="1:12" x14ac:dyDescent="0.25">
      <c r="A14" s="104" t="s">
        <v>523</v>
      </c>
      <c r="B14" s="105" t="s">
        <v>205</v>
      </c>
      <c r="C14" s="105" t="s">
        <v>415</v>
      </c>
      <c r="D14" s="106">
        <v>42760</v>
      </c>
      <c r="E14" s="106">
        <v>42838</v>
      </c>
      <c r="F14" s="105" t="s">
        <v>601</v>
      </c>
      <c r="G14" s="84">
        <v>1</v>
      </c>
      <c r="H14" s="85">
        <v>1</v>
      </c>
      <c r="I14" s="86">
        <v>29.55</v>
      </c>
    </row>
    <row r="15" spans="1:12" x14ac:dyDescent="0.25">
      <c r="A15" s="104" t="s">
        <v>439</v>
      </c>
      <c r="B15" s="105" t="s">
        <v>205</v>
      </c>
      <c r="C15" s="105" t="s">
        <v>416</v>
      </c>
      <c r="D15" s="106">
        <v>42759</v>
      </c>
      <c r="E15" s="106">
        <v>42838</v>
      </c>
      <c r="F15" s="105" t="s">
        <v>601</v>
      </c>
      <c r="G15" s="84">
        <v>1</v>
      </c>
      <c r="H15" s="85">
        <v>1</v>
      </c>
      <c r="I15" s="86">
        <v>14.88</v>
      </c>
    </row>
    <row r="16" spans="1:12" x14ac:dyDescent="0.25">
      <c r="A16" s="104" t="s">
        <v>479</v>
      </c>
      <c r="B16" s="105" t="s">
        <v>205</v>
      </c>
      <c r="C16" s="105" t="s">
        <v>416</v>
      </c>
      <c r="D16" s="106">
        <v>42759</v>
      </c>
      <c r="E16" s="106">
        <v>42838</v>
      </c>
      <c r="F16" s="105" t="s">
        <v>601</v>
      </c>
      <c r="G16" s="84">
        <v>1</v>
      </c>
      <c r="H16" s="85">
        <v>1</v>
      </c>
      <c r="I16" s="86">
        <v>14</v>
      </c>
    </row>
    <row r="17" spans="1:9" ht="30" x14ac:dyDescent="0.25">
      <c r="A17" s="104" t="s">
        <v>525</v>
      </c>
      <c r="B17" s="105" t="s">
        <v>205</v>
      </c>
      <c r="C17" s="105" t="s">
        <v>414</v>
      </c>
      <c r="D17" s="106">
        <v>42759</v>
      </c>
      <c r="E17" s="106">
        <v>42894</v>
      </c>
      <c r="F17" s="105" t="s">
        <v>601</v>
      </c>
      <c r="G17" s="84">
        <v>10</v>
      </c>
      <c r="H17" s="85">
        <v>10</v>
      </c>
      <c r="I17" s="86">
        <v>72.900000000000006</v>
      </c>
    </row>
    <row r="18" spans="1:9" ht="30.75" thickBot="1" x14ac:dyDescent="0.3">
      <c r="A18" s="104" t="s">
        <v>466</v>
      </c>
      <c r="B18" s="105" t="s">
        <v>205</v>
      </c>
      <c r="C18" s="105" t="s">
        <v>416</v>
      </c>
      <c r="D18" s="106">
        <v>42759</v>
      </c>
      <c r="E18" s="106">
        <v>42838</v>
      </c>
      <c r="F18" s="105" t="s">
        <v>601</v>
      </c>
      <c r="G18" s="84">
        <v>1</v>
      </c>
      <c r="H18" s="85">
        <v>1</v>
      </c>
      <c r="I18" s="86">
        <v>10</v>
      </c>
    </row>
    <row r="19" spans="1:9" ht="16.5" thickTop="1" thickBot="1" x14ac:dyDescent="0.3">
      <c r="A19" s="107" t="s">
        <v>199</v>
      </c>
      <c r="B19" s="108"/>
      <c r="C19" s="108"/>
      <c r="D19" s="108"/>
      <c r="E19" s="108"/>
      <c r="F19" s="109"/>
      <c r="G19" s="88">
        <v>41</v>
      </c>
      <c r="H19" s="96">
        <v>41</v>
      </c>
      <c r="I19" s="89">
        <v>530.54</v>
      </c>
    </row>
    <row r="20" spans="1:9" ht="15.75" thickTop="1" x14ac:dyDescent="0.25">
      <c r="B20"/>
      <c r="C20"/>
      <c r="D20"/>
      <c r="E20"/>
    </row>
    <row r="21" spans="1:9" x14ac:dyDescent="0.25">
      <c r="B21"/>
      <c r="C21"/>
      <c r="D21"/>
      <c r="E21"/>
    </row>
    <row r="22" spans="1:9" x14ac:dyDescent="0.25">
      <c r="B22"/>
      <c r="C22"/>
      <c r="D22"/>
      <c r="E22"/>
    </row>
    <row r="23" spans="1:9" x14ac:dyDescent="0.25">
      <c r="B23"/>
      <c r="C23"/>
      <c r="D23"/>
      <c r="E23"/>
    </row>
    <row r="24" spans="1:9" x14ac:dyDescent="0.25">
      <c r="B24"/>
      <c r="C24"/>
      <c r="D24"/>
      <c r="E24"/>
    </row>
    <row r="25" spans="1:9" x14ac:dyDescent="0.25">
      <c r="B25"/>
      <c r="C25"/>
      <c r="D25"/>
      <c r="E25"/>
    </row>
    <row r="26" spans="1:9" x14ac:dyDescent="0.25">
      <c r="B26"/>
      <c r="C26"/>
      <c r="D26"/>
      <c r="E26"/>
    </row>
    <row r="27" spans="1:9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ht="15.75" thickBot="1" x14ac:dyDescent="0.3">
      <c r="B71"/>
      <c r="C71"/>
      <c r="D71"/>
      <c r="E71"/>
    </row>
    <row r="72" spans="2:5" ht="16.5" thickTop="1" thickBot="1" x14ac:dyDescent="0.3">
      <c r="B72"/>
      <c r="C72"/>
      <c r="D72"/>
      <c r="E72"/>
    </row>
    <row r="73" spans="2:5" ht="15.75" thickTop="1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ht="15.75" thickBot="1" x14ac:dyDescent="0.3">
      <c r="B142"/>
      <c r="C142"/>
      <c r="D142"/>
      <c r="E142"/>
    </row>
    <row r="143" spans="2:5" ht="16.5" thickTop="1" thickBot="1" x14ac:dyDescent="0.3">
      <c r="B143"/>
      <c r="C143"/>
      <c r="D143"/>
      <c r="E143"/>
    </row>
    <row r="144" spans="2:5" ht="15.75" thickTop="1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sLY0Lq467bJCJkTSQepu+jh40xN82FQFY2IJjOhlVZSYMT6zP5o4d/CLZvj+HszFFiCvynAJN/vU8LHDMk6H/w==" saltValue="C3ge2ek/TRi2CyWDkVBr7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575</v>
      </c>
      <c r="B1" s="78"/>
      <c r="G1" s="217"/>
    </row>
    <row r="2" spans="1:12" ht="16.5" thickTop="1" thickBot="1" x14ac:dyDescent="0.3">
      <c r="A2" s="133" t="s">
        <v>3</v>
      </c>
      <c r="B2" s="111">
        <v>270300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549</v>
      </c>
      <c r="B5" s="105">
        <v>388</v>
      </c>
      <c r="C5" s="105" t="s">
        <v>590</v>
      </c>
      <c r="D5" s="106">
        <v>42577</v>
      </c>
      <c r="E5" s="106">
        <v>42954</v>
      </c>
      <c r="F5" s="105" t="s">
        <v>601</v>
      </c>
      <c r="G5" s="80">
        <v>1</v>
      </c>
      <c r="H5" s="81">
        <v>1</v>
      </c>
      <c r="I5" s="82">
        <v>34.19</v>
      </c>
      <c r="J5"/>
      <c r="L5"/>
    </row>
    <row r="6" spans="1:12" s="83" customFormat="1" ht="60" x14ac:dyDescent="0.25">
      <c r="A6" s="104" t="s">
        <v>325</v>
      </c>
      <c r="B6" s="105">
        <v>388</v>
      </c>
      <c r="C6" s="105" t="s">
        <v>595</v>
      </c>
      <c r="D6" s="106">
        <v>42577</v>
      </c>
      <c r="E6" s="106">
        <v>42940</v>
      </c>
      <c r="F6" s="105" t="s">
        <v>601</v>
      </c>
      <c r="G6" s="84">
        <v>1</v>
      </c>
      <c r="H6" s="85">
        <v>1</v>
      </c>
      <c r="I6" s="86">
        <v>525.98</v>
      </c>
      <c r="K6"/>
    </row>
    <row r="7" spans="1:12" s="83" customFormat="1" x14ac:dyDescent="0.25">
      <c r="A7" s="104" t="s">
        <v>547</v>
      </c>
      <c r="B7" s="105">
        <v>388</v>
      </c>
      <c r="C7" s="105" t="s">
        <v>596</v>
      </c>
      <c r="D7" s="106">
        <v>42577</v>
      </c>
      <c r="E7" s="106">
        <v>42970</v>
      </c>
      <c r="F7" s="105" t="s">
        <v>601</v>
      </c>
      <c r="G7" s="84">
        <v>1</v>
      </c>
      <c r="H7" s="85">
        <v>1</v>
      </c>
      <c r="I7" s="86">
        <v>88.53</v>
      </c>
    </row>
    <row r="8" spans="1:12" s="87" customFormat="1" x14ac:dyDescent="0.25">
      <c r="A8" s="104" t="s">
        <v>548</v>
      </c>
      <c r="B8" s="105">
        <v>388</v>
      </c>
      <c r="C8" s="105" t="s">
        <v>596</v>
      </c>
      <c r="D8" s="106">
        <v>42577</v>
      </c>
      <c r="E8" s="106">
        <v>42970</v>
      </c>
      <c r="F8" s="105" t="s">
        <v>601</v>
      </c>
      <c r="G8" s="84">
        <v>1</v>
      </c>
      <c r="H8" s="85">
        <v>1</v>
      </c>
      <c r="I8" s="86">
        <v>21.65</v>
      </c>
    </row>
    <row r="9" spans="1:12" s="87" customFormat="1" x14ac:dyDescent="0.25">
      <c r="A9" s="104" t="s">
        <v>541</v>
      </c>
      <c r="B9" s="105">
        <v>388</v>
      </c>
      <c r="C9" s="105" t="s">
        <v>600</v>
      </c>
      <c r="D9" s="106">
        <v>42577</v>
      </c>
      <c r="E9" s="106">
        <v>42933</v>
      </c>
      <c r="F9" s="105" t="s">
        <v>601</v>
      </c>
      <c r="G9" s="84">
        <v>5</v>
      </c>
      <c r="H9" s="85">
        <v>5</v>
      </c>
      <c r="I9" s="86">
        <v>9.1</v>
      </c>
    </row>
    <row r="10" spans="1:12" s="90" customFormat="1" x14ac:dyDescent="0.25">
      <c r="A10" s="104" t="s">
        <v>542</v>
      </c>
      <c r="B10" s="105">
        <v>388</v>
      </c>
      <c r="C10" s="105" t="s">
        <v>600</v>
      </c>
      <c r="D10" s="106">
        <v>42577</v>
      </c>
      <c r="E10" s="106">
        <v>42933</v>
      </c>
      <c r="F10" s="105" t="s">
        <v>601</v>
      </c>
      <c r="G10" s="84">
        <v>5</v>
      </c>
      <c r="H10" s="85">
        <v>5</v>
      </c>
      <c r="I10" s="86">
        <v>19.75</v>
      </c>
    </row>
    <row r="11" spans="1:12" x14ac:dyDescent="0.25">
      <c r="A11" s="104" t="s">
        <v>544</v>
      </c>
      <c r="B11" s="105">
        <v>388</v>
      </c>
      <c r="C11" s="105" t="s">
        <v>600</v>
      </c>
      <c r="D11" s="106">
        <v>42577</v>
      </c>
      <c r="E11" s="106">
        <v>42933</v>
      </c>
      <c r="F11" s="105" t="s">
        <v>601</v>
      </c>
      <c r="G11" s="84">
        <v>5</v>
      </c>
      <c r="H11" s="85">
        <v>5</v>
      </c>
      <c r="I11" s="86">
        <v>11.45</v>
      </c>
    </row>
    <row r="12" spans="1:12" x14ac:dyDescent="0.25">
      <c r="A12" s="104" t="s">
        <v>571</v>
      </c>
      <c r="B12" s="105">
        <v>388</v>
      </c>
      <c r="C12" s="105" t="s">
        <v>590</v>
      </c>
      <c r="D12" s="106">
        <v>42577</v>
      </c>
      <c r="E12" s="106">
        <v>42954</v>
      </c>
      <c r="F12" s="105" t="s">
        <v>601</v>
      </c>
      <c r="G12" s="84">
        <v>1</v>
      </c>
      <c r="H12" s="85">
        <v>1</v>
      </c>
      <c r="I12" s="86">
        <v>170</v>
      </c>
    </row>
    <row r="13" spans="1:12" ht="30" x14ac:dyDescent="0.25">
      <c r="A13" s="104" t="s">
        <v>299</v>
      </c>
      <c r="B13" s="105">
        <v>388</v>
      </c>
      <c r="C13" s="105" t="s">
        <v>589</v>
      </c>
      <c r="D13" s="106">
        <v>42577</v>
      </c>
      <c r="E13" s="106">
        <v>42976</v>
      </c>
      <c r="F13" s="105" t="s">
        <v>601</v>
      </c>
      <c r="G13" s="84">
        <v>1</v>
      </c>
      <c r="H13" s="85">
        <v>1</v>
      </c>
      <c r="I13" s="86">
        <v>5.12</v>
      </c>
    </row>
    <row r="14" spans="1:12" ht="15.75" thickBot="1" x14ac:dyDescent="0.3">
      <c r="A14" s="104" t="s">
        <v>550</v>
      </c>
      <c r="B14" s="105">
        <v>388</v>
      </c>
      <c r="C14" s="105" t="s">
        <v>205</v>
      </c>
      <c r="D14" s="106">
        <v>42577</v>
      </c>
      <c r="E14" s="105" t="s">
        <v>205</v>
      </c>
      <c r="F14" s="105" t="s">
        <v>205</v>
      </c>
      <c r="G14" s="84">
        <v>1</v>
      </c>
      <c r="H14" s="85"/>
      <c r="I14" s="86"/>
    </row>
    <row r="15" spans="1:12" ht="16.5" thickTop="1" thickBot="1" x14ac:dyDescent="0.3">
      <c r="A15" s="107" t="s">
        <v>199</v>
      </c>
      <c r="B15" s="108"/>
      <c r="C15" s="108"/>
      <c r="D15" s="108"/>
      <c r="E15" s="108"/>
      <c r="F15" s="109"/>
      <c r="G15" s="88">
        <v>22</v>
      </c>
      <c r="H15" s="96">
        <v>21</v>
      </c>
      <c r="I15" s="89">
        <v>885.7700000000001</v>
      </c>
    </row>
    <row r="16" spans="1:12" ht="15.75" thickTop="1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ht="15.75" thickBot="1" x14ac:dyDescent="0.3">
      <c r="B90"/>
      <c r="C90"/>
      <c r="D90"/>
      <c r="E90"/>
    </row>
    <row r="91" spans="2:5" ht="16.5" thickTop="1" thickBot="1" x14ac:dyDescent="0.3">
      <c r="B91"/>
      <c r="C91"/>
      <c r="D91"/>
      <c r="E91"/>
    </row>
    <row r="92" spans="2:5" ht="15.75" thickTop="1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4gRzxZBDZU8iYMrxbUI23wFHhsTDLWM2rnMGQBOD/VIxwVIv6Z77kwyNw/FLVxbpqXrt2APuYfsJy7mfVDsYwA==" saltValue="h/pqcgrLKrgoIn1d93tIR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opLeftCell="A151" workbookViewId="0">
      <selection activeCell="D153" sqref="D153:H153"/>
    </sheetView>
  </sheetViews>
  <sheetFormatPr defaultRowHeight="15" x14ac:dyDescent="0.25"/>
  <cols>
    <col min="3" max="3" width="22.28515625" style="77" customWidth="1"/>
    <col min="7" max="7" width="16.5703125" customWidth="1"/>
    <col min="8" max="8" width="16.7109375" customWidth="1"/>
  </cols>
  <sheetData>
    <row r="1" spans="1:8" ht="21" x14ac:dyDescent="0.35">
      <c r="A1" s="201" t="s">
        <v>20</v>
      </c>
      <c r="B1" s="202"/>
      <c r="C1" s="202"/>
      <c r="D1" s="202"/>
      <c r="E1" s="202"/>
      <c r="F1" s="202"/>
      <c r="G1" s="202"/>
      <c r="H1" s="202"/>
    </row>
    <row r="2" spans="1:8" ht="15.75" thickBot="1" x14ac:dyDescent="0.3">
      <c r="A2" s="3" t="s">
        <v>21</v>
      </c>
      <c r="B2" s="203" t="s">
        <v>206</v>
      </c>
      <c r="C2" s="203"/>
      <c r="D2" s="203"/>
      <c r="E2" s="4"/>
      <c r="F2" s="4"/>
      <c r="G2" s="5"/>
    </row>
    <row r="3" spans="1:8" ht="24.75" customHeight="1" thickTop="1" thickBot="1" x14ac:dyDescent="0.4">
      <c r="A3" s="3" t="s">
        <v>22</v>
      </c>
      <c r="B3" s="204" t="s">
        <v>207</v>
      </c>
      <c r="C3" s="204"/>
      <c r="D3" s="3" t="s">
        <v>24</v>
      </c>
      <c r="E3" s="6">
        <v>42928</v>
      </c>
      <c r="F3" s="205" t="s">
        <v>25</v>
      </c>
      <c r="G3" s="207">
        <f ca="1">E3-E4</f>
        <v>-831</v>
      </c>
    </row>
    <row r="4" spans="1:8" ht="15.75" customHeight="1" thickBot="1" x14ac:dyDescent="0.3">
      <c r="A4" s="3"/>
      <c r="B4" s="209"/>
      <c r="C4" s="209"/>
      <c r="D4" s="3" t="s">
        <v>26</v>
      </c>
      <c r="E4" s="7">
        <f ca="1">TODAY()</f>
        <v>43759</v>
      </c>
      <c r="F4" s="206"/>
      <c r="G4" s="208"/>
    </row>
    <row r="5" spans="1:8" ht="33" thickTop="1" thickBot="1" x14ac:dyDescent="0.3">
      <c r="A5" s="3"/>
      <c r="C5" s="8"/>
      <c r="D5" s="3"/>
      <c r="E5" s="7"/>
      <c r="F5" s="9"/>
      <c r="G5" s="10"/>
    </row>
    <row r="6" spans="1:8" ht="19.5" thickTop="1" thickBot="1" x14ac:dyDescent="0.3">
      <c r="A6" s="3"/>
      <c r="B6" s="11"/>
      <c r="C6" s="11"/>
      <c r="D6" s="196" t="s">
        <v>27</v>
      </c>
      <c r="E6" s="197"/>
      <c r="F6" s="198"/>
      <c r="G6" s="12"/>
    </row>
    <row r="7" spans="1:8" ht="18.75" thickTop="1" x14ac:dyDescent="0.25">
      <c r="A7" s="3"/>
      <c r="B7" s="112"/>
      <c r="C7" s="112"/>
      <c r="D7" s="3"/>
      <c r="E7" s="14"/>
      <c r="F7" s="15"/>
      <c r="G7" s="5"/>
    </row>
    <row r="8" spans="1:8" ht="18" x14ac:dyDescent="0.25">
      <c r="A8" s="16" t="s">
        <v>28</v>
      </c>
      <c r="B8" s="199" t="s">
        <v>29</v>
      </c>
      <c r="C8" s="199"/>
      <c r="D8" s="199"/>
      <c r="E8" s="199"/>
      <c r="F8" s="199"/>
      <c r="G8" s="199"/>
      <c r="H8" s="199"/>
    </row>
    <row r="9" spans="1:8" x14ac:dyDescent="0.25">
      <c r="A9" s="16"/>
      <c r="B9" s="200" t="s">
        <v>30</v>
      </c>
      <c r="C9" s="200"/>
      <c r="D9" s="200"/>
      <c r="E9" s="200"/>
      <c r="F9" s="200"/>
      <c r="G9" s="200"/>
      <c r="H9" s="200"/>
    </row>
    <row r="10" spans="1:8" ht="15.75" thickBot="1" x14ac:dyDescent="0.3">
      <c r="A10" s="17"/>
      <c r="B10" s="17"/>
      <c r="C10" s="17"/>
      <c r="D10" s="17"/>
      <c r="E10" s="17"/>
      <c r="F10" s="17"/>
      <c r="G10" s="5"/>
    </row>
    <row r="11" spans="1:8" ht="60.75" thickTop="1" x14ac:dyDescent="0.25">
      <c r="A11" s="18" t="s">
        <v>31</v>
      </c>
      <c r="B11" s="18" t="s">
        <v>32</v>
      </c>
      <c r="C11" s="19" t="s">
        <v>33</v>
      </c>
      <c r="D11" s="19" t="s">
        <v>34</v>
      </c>
      <c r="E11" s="19" t="s">
        <v>35</v>
      </c>
      <c r="F11" s="19" t="s">
        <v>36</v>
      </c>
      <c r="G11" s="20" t="s">
        <v>37</v>
      </c>
      <c r="H11" s="21" t="s">
        <v>38</v>
      </c>
    </row>
    <row r="12" spans="1:8" ht="33.75" x14ac:dyDescent="0.25">
      <c r="A12" s="113">
        <v>1</v>
      </c>
      <c r="B12" s="113">
        <v>16</v>
      </c>
      <c r="C12" s="114" t="s">
        <v>208</v>
      </c>
      <c r="D12" s="113">
        <v>10</v>
      </c>
      <c r="E12" s="113"/>
      <c r="F12" s="115">
        <f>D12-E12</f>
        <v>10</v>
      </c>
      <c r="G12" s="115"/>
      <c r="H12" s="116">
        <v>399</v>
      </c>
    </row>
    <row r="13" spans="1:8" ht="33.75" x14ac:dyDescent="0.25">
      <c r="A13" s="117">
        <v>2</v>
      </c>
      <c r="B13" s="117">
        <v>15</v>
      </c>
      <c r="C13" s="45" t="s">
        <v>209</v>
      </c>
      <c r="D13" s="117">
        <v>10</v>
      </c>
      <c r="E13" s="117"/>
      <c r="F13" s="46">
        <f>D13-E13</f>
        <v>10</v>
      </c>
      <c r="G13" s="46"/>
      <c r="H13" s="118">
        <v>3150</v>
      </c>
    </row>
    <row r="14" spans="1:8" ht="90" x14ac:dyDescent="0.25">
      <c r="A14" s="119">
        <v>3</v>
      </c>
      <c r="B14" s="119" t="s">
        <v>156</v>
      </c>
      <c r="C14" s="120" t="s">
        <v>210</v>
      </c>
      <c r="D14" s="212" t="s">
        <v>211</v>
      </c>
      <c r="E14" s="213"/>
      <c r="F14" s="213"/>
      <c r="G14" s="213"/>
      <c r="H14" s="213"/>
    </row>
    <row r="15" spans="1:8" ht="90" x14ac:dyDescent="0.25">
      <c r="A15" s="121">
        <v>4</v>
      </c>
      <c r="B15" s="121">
        <v>10</v>
      </c>
      <c r="C15" s="122" t="s">
        <v>212</v>
      </c>
      <c r="D15" s="121">
        <v>70</v>
      </c>
      <c r="E15" s="121"/>
      <c r="F15" s="123">
        <f>D15-E15</f>
        <v>70</v>
      </c>
      <c r="G15" s="123">
        <f>5</f>
        <v>5</v>
      </c>
      <c r="H15" s="124">
        <v>689</v>
      </c>
    </row>
    <row r="16" spans="1:8" ht="56.25" x14ac:dyDescent="0.25">
      <c r="A16" s="121">
        <v>5</v>
      </c>
      <c r="B16" s="121">
        <v>10</v>
      </c>
      <c r="C16" s="122" t="s">
        <v>213</v>
      </c>
      <c r="D16" s="121">
        <v>350</v>
      </c>
      <c r="E16" s="121"/>
      <c r="F16" s="123">
        <f>D16-E16</f>
        <v>350</v>
      </c>
      <c r="G16" s="24">
        <f>200</f>
        <v>200</v>
      </c>
      <c r="H16" s="124">
        <v>3.2</v>
      </c>
    </row>
    <row r="17" spans="1:8" ht="33.75" x14ac:dyDescent="0.25">
      <c r="A17" s="125">
        <v>6</v>
      </c>
      <c r="B17" s="125">
        <v>14</v>
      </c>
      <c r="C17" s="67" t="s">
        <v>214</v>
      </c>
      <c r="D17" s="125">
        <v>50</v>
      </c>
      <c r="E17" s="125"/>
      <c r="F17" s="69">
        <f>D17-E17</f>
        <v>50</v>
      </c>
      <c r="G17" s="69"/>
      <c r="H17" s="126">
        <v>2.08</v>
      </c>
    </row>
    <row r="18" spans="1:8" ht="33.75" x14ac:dyDescent="0.25">
      <c r="A18" s="125">
        <v>7</v>
      </c>
      <c r="B18" s="125">
        <v>14</v>
      </c>
      <c r="C18" s="67" t="s">
        <v>215</v>
      </c>
      <c r="D18" s="125">
        <v>190</v>
      </c>
      <c r="E18" s="125"/>
      <c r="F18" s="69">
        <f>D18-E18</f>
        <v>190</v>
      </c>
      <c r="G18" s="69"/>
      <c r="H18" s="126">
        <v>4.1500000000000004</v>
      </c>
    </row>
    <row r="19" spans="1:8" ht="33.75" x14ac:dyDescent="0.25">
      <c r="A19" s="127">
        <v>8</v>
      </c>
      <c r="B19" s="127" t="s">
        <v>156</v>
      </c>
      <c r="C19" s="52" t="s">
        <v>216</v>
      </c>
      <c r="D19" s="210" t="s">
        <v>211</v>
      </c>
      <c r="E19" s="211"/>
      <c r="F19" s="211"/>
      <c r="G19" s="211"/>
      <c r="H19" s="211"/>
    </row>
    <row r="20" spans="1:8" ht="56.25" x14ac:dyDescent="0.25">
      <c r="A20" s="127">
        <v>9</v>
      </c>
      <c r="B20" s="127" t="s">
        <v>156</v>
      </c>
      <c r="C20" s="52" t="s">
        <v>217</v>
      </c>
      <c r="D20" s="210" t="s">
        <v>211</v>
      </c>
      <c r="E20" s="211"/>
      <c r="F20" s="211"/>
      <c r="G20" s="211"/>
      <c r="H20" s="211"/>
    </row>
    <row r="21" spans="1:8" ht="270" x14ac:dyDescent="0.25">
      <c r="A21" s="121">
        <v>10</v>
      </c>
      <c r="B21" s="121">
        <v>11</v>
      </c>
      <c r="C21" s="122" t="s">
        <v>218</v>
      </c>
      <c r="D21" s="121">
        <v>38</v>
      </c>
      <c r="E21" s="121"/>
      <c r="F21" s="123">
        <f t="shared" ref="F21:F22" si="0">D21-E21</f>
        <v>38</v>
      </c>
      <c r="G21" s="123">
        <f>10</f>
        <v>10</v>
      </c>
      <c r="H21" s="124">
        <v>799.99</v>
      </c>
    </row>
    <row r="22" spans="1:8" ht="270" x14ac:dyDescent="0.25">
      <c r="A22" s="121">
        <v>11</v>
      </c>
      <c r="B22" s="121">
        <v>11</v>
      </c>
      <c r="C22" s="122" t="s">
        <v>218</v>
      </c>
      <c r="D22" s="121">
        <v>12</v>
      </c>
      <c r="E22" s="121"/>
      <c r="F22" s="123">
        <f t="shared" si="0"/>
        <v>12</v>
      </c>
      <c r="G22" s="123">
        <f>4</f>
        <v>4</v>
      </c>
      <c r="H22" s="124">
        <v>1000</v>
      </c>
    </row>
    <row r="23" spans="1:8" ht="135" x14ac:dyDescent="0.25">
      <c r="A23" s="125">
        <v>12</v>
      </c>
      <c r="B23" s="125">
        <v>14</v>
      </c>
      <c r="C23" s="67" t="s">
        <v>219</v>
      </c>
      <c r="D23" s="125">
        <v>100</v>
      </c>
      <c r="E23" s="125"/>
      <c r="F23" s="69">
        <f>D23-E23</f>
        <v>100</v>
      </c>
      <c r="G23" s="69"/>
      <c r="H23" s="126">
        <v>108</v>
      </c>
    </row>
    <row r="24" spans="1:8" ht="371.25" x14ac:dyDescent="0.25">
      <c r="A24" s="121">
        <v>13</v>
      </c>
      <c r="B24" s="121">
        <v>12</v>
      </c>
      <c r="C24" s="122" t="s">
        <v>220</v>
      </c>
      <c r="D24" s="121">
        <v>50</v>
      </c>
      <c r="E24" s="121"/>
      <c r="F24" s="123">
        <f t="shared" ref="F24:F25" si="1">D24-E24</f>
        <v>50</v>
      </c>
      <c r="G24" s="123">
        <f>1+6+3+13</f>
        <v>23</v>
      </c>
      <c r="H24" s="124">
        <v>296.99</v>
      </c>
    </row>
    <row r="25" spans="1:8" ht="371.25" x14ac:dyDescent="0.25">
      <c r="A25" s="121">
        <v>14</v>
      </c>
      <c r="B25" s="121">
        <v>11</v>
      </c>
      <c r="C25" s="122" t="s">
        <v>221</v>
      </c>
      <c r="D25" s="121">
        <v>100</v>
      </c>
      <c r="E25" s="121"/>
      <c r="F25" s="123">
        <f t="shared" si="1"/>
        <v>100</v>
      </c>
      <c r="G25" s="123">
        <f>1+1+2+2+6</f>
        <v>12</v>
      </c>
      <c r="H25" s="124">
        <v>140</v>
      </c>
    </row>
    <row r="26" spans="1:8" ht="371.25" x14ac:dyDescent="0.25">
      <c r="A26" s="127">
        <v>15</v>
      </c>
      <c r="B26" s="127" t="s">
        <v>156</v>
      </c>
      <c r="C26" s="52" t="s">
        <v>222</v>
      </c>
      <c r="D26" s="210" t="s">
        <v>223</v>
      </c>
      <c r="E26" s="211"/>
      <c r="F26" s="211"/>
      <c r="G26" s="211"/>
      <c r="H26" s="211"/>
    </row>
    <row r="27" spans="1:8" ht="146.25" x14ac:dyDescent="0.25">
      <c r="A27" s="125">
        <v>16</v>
      </c>
      <c r="B27" s="125">
        <v>14</v>
      </c>
      <c r="C27" s="67" t="s">
        <v>224</v>
      </c>
      <c r="D27" s="125">
        <v>100</v>
      </c>
      <c r="E27" s="125"/>
      <c r="F27" s="69">
        <f t="shared" ref="F27:F28" si="2">D27-E27</f>
        <v>100</v>
      </c>
      <c r="G27" s="69"/>
      <c r="H27" s="126">
        <v>100</v>
      </c>
    </row>
    <row r="28" spans="1:8" ht="371.25" x14ac:dyDescent="0.25">
      <c r="A28" s="125">
        <v>17</v>
      </c>
      <c r="B28" s="125">
        <v>14</v>
      </c>
      <c r="C28" s="67" t="s">
        <v>225</v>
      </c>
      <c r="D28" s="125">
        <v>50</v>
      </c>
      <c r="E28" s="125"/>
      <c r="F28" s="69">
        <f t="shared" si="2"/>
        <v>50</v>
      </c>
      <c r="G28" s="69"/>
      <c r="H28" s="126">
        <v>130</v>
      </c>
    </row>
    <row r="29" spans="1:8" ht="146.25" x14ac:dyDescent="0.25">
      <c r="A29" s="127">
        <v>18</v>
      </c>
      <c r="B29" s="127" t="s">
        <v>156</v>
      </c>
      <c r="C29" s="52" t="s">
        <v>226</v>
      </c>
      <c r="D29" s="210" t="s">
        <v>223</v>
      </c>
      <c r="E29" s="211"/>
      <c r="F29" s="211"/>
      <c r="G29" s="211"/>
      <c r="H29" s="211"/>
    </row>
    <row r="30" spans="1:8" ht="348.75" x14ac:dyDescent="0.25">
      <c r="A30" s="121">
        <v>19</v>
      </c>
      <c r="B30" s="121">
        <v>1</v>
      </c>
      <c r="C30" s="122" t="s">
        <v>227</v>
      </c>
      <c r="D30" s="121">
        <v>243</v>
      </c>
      <c r="E30" s="121"/>
      <c r="F30" s="123">
        <f>D30-E30</f>
        <v>243</v>
      </c>
      <c r="G30" s="123"/>
      <c r="H30" s="124">
        <v>819</v>
      </c>
    </row>
    <row r="31" spans="1:8" ht="348.75" x14ac:dyDescent="0.25">
      <c r="A31" s="127">
        <v>20</v>
      </c>
      <c r="B31" s="127" t="s">
        <v>156</v>
      </c>
      <c r="C31" s="52" t="s">
        <v>228</v>
      </c>
      <c r="D31" s="210" t="s">
        <v>223</v>
      </c>
      <c r="E31" s="211"/>
      <c r="F31" s="211"/>
      <c r="G31" s="211"/>
      <c r="H31" s="211"/>
    </row>
    <row r="32" spans="1:8" ht="78.75" x14ac:dyDescent="0.25">
      <c r="A32" s="121">
        <v>21</v>
      </c>
      <c r="B32" s="121">
        <v>9</v>
      </c>
      <c r="C32" s="122" t="s">
        <v>229</v>
      </c>
      <c r="D32" s="121">
        <v>20</v>
      </c>
      <c r="E32" s="121"/>
      <c r="F32" s="123">
        <f t="shared" ref="F32:F51" si="3">D32-E32</f>
        <v>20</v>
      </c>
      <c r="G32" s="123">
        <f>1</f>
        <v>1</v>
      </c>
      <c r="H32" s="124">
        <v>113.5</v>
      </c>
    </row>
    <row r="33" spans="1:8" ht="78.75" x14ac:dyDescent="0.25">
      <c r="A33" s="121">
        <v>22</v>
      </c>
      <c r="B33" s="121">
        <v>9</v>
      </c>
      <c r="C33" s="122" t="s">
        <v>230</v>
      </c>
      <c r="D33" s="121">
        <v>20</v>
      </c>
      <c r="E33" s="121"/>
      <c r="F33" s="123">
        <f t="shared" si="3"/>
        <v>20</v>
      </c>
      <c r="G33" s="123">
        <f>1</f>
        <v>1</v>
      </c>
      <c r="H33" s="124">
        <v>115</v>
      </c>
    </row>
    <row r="34" spans="1:8" ht="78.75" x14ac:dyDescent="0.25">
      <c r="A34" s="121">
        <v>23</v>
      </c>
      <c r="B34" s="121">
        <v>9</v>
      </c>
      <c r="C34" s="122" t="s">
        <v>231</v>
      </c>
      <c r="D34" s="121">
        <v>20</v>
      </c>
      <c r="E34" s="121"/>
      <c r="F34" s="123">
        <f t="shared" si="3"/>
        <v>20</v>
      </c>
      <c r="G34" s="123">
        <f>1</f>
        <v>1</v>
      </c>
      <c r="H34" s="124">
        <v>118</v>
      </c>
    </row>
    <row r="35" spans="1:8" ht="78.75" x14ac:dyDescent="0.25">
      <c r="A35" s="121">
        <v>24</v>
      </c>
      <c r="B35" s="121">
        <v>9</v>
      </c>
      <c r="C35" s="122" t="s">
        <v>232</v>
      </c>
      <c r="D35" s="121">
        <v>20</v>
      </c>
      <c r="E35" s="121"/>
      <c r="F35" s="123">
        <f t="shared" si="3"/>
        <v>20</v>
      </c>
      <c r="G35" s="123">
        <f>1</f>
        <v>1</v>
      </c>
      <c r="H35" s="124">
        <v>115</v>
      </c>
    </row>
    <row r="36" spans="1:8" ht="78.75" x14ac:dyDescent="0.25">
      <c r="A36" s="121">
        <v>25</v>
      </c>
      <c r="B36" s="121">
        <v>9</v>
      </c>
      <c r="C36" s="122" t="s">
        <v>233</v>
      </c>
      <c r="D36" s="121">
        <v>20</v>
      </c>
      <c r="E36" s="121"/>
      <c r="F36" s="123">
        <f t="shared" si="3"/>
        <v>20</v>
      </c>
      <c r="G36" s="123"/>
      <c r="H36" s="124">
        <v>118</v>
      </c>
    </row>
    <row r="37" spans="1:8" ht="78.75" x14ac:dyDescent="0.25">
      <c r="A37" s="121">
        <v>26</v>
      </c>
      <c r="B37" s="121">
        <v>9</v>
      </c>
      <c r="C37" s="122" t="s">
        <v>234</v>
      </c>
      <c r="D37" s="121">
        <v>20</v>
      </c>
      <c r="E37" s="121"/>
      <c r="F37" s="123">
        <f t="shared" si="3"/>
        <v>20</v>
      </c>
      <c r="G37" s="123">
        <f>1</f>
        <v>1</v>
      </c>
      <c r="H37" s="124">
        <v>125</v>
      </c>
    </row>
    <row r="38" spans="1:8" ht="78.75" x14ac:dyDescent="0.25">
      <c r="A38" s="121">
        <v>27</v>
      </c>
      <c r="B38" s="121">
        <v>9</v>
      </c>
      <c r="C38" s="122" t="s">
        <v>235</v>
      </c>
      <c r="D38" s="121">
        <v>20</v>
      </c>
      <c r="E38" s="121"/>
      <c r="F38" s="123">
        <f t="shared" si="3"/>
        <v>20</v>
      </c>
      <c r="G38" s="123">
        <f>1</f>
        <v>1</v>
      </c>
      <c r="H38" s="124">
        <v>118</v>
      </c>
    </row>
    <row r="39" spans="1:8" ht="78.75" x14ac:dyDescent="0.25">
      <c r="A39" s="121">
        <v>28</v>
      </c>
      <c r="B39" s="121">
        <v>9</v>
      </c>
      <c r="C39" s="122" t="s">
        <v>236</v>
      </c>
      <c r="D39" s="121">
        <v>20</v>
      </c>
      <c r="E39" s="121"/>
      <c r="F39" s="123">
        <f t="shared" si="3"/>
        <v>20</v>
      </c>
      <c r="G39" s="123">
        <f>1+1</f>
        <v>2</v>
      </c>
      <c r="H39" s="124">
        <v>120</v>
      </c>
    </row>
    <row r="40" spans="1:8" ht="78.75" x14ac:dyDescent="0.25">
      <c r="A40" s="121">
        <v>29</v>
      </c>
      <c r="B40" s="121">
        <v>9</v>
      </c>
      <c r="C40" s="122" t="s">
        <v>237</v>
      </c>
      <c r="D40" s="121">
        <v>20</v>
      </c>
      <c r="E40" s="121"/>
      <c r="F40" s="123">
        <f t="shared" si="3"/>
        <v>20</v>
      </c>
      <c r="G40" s="123">
        <f>1+1</f>
        <v>2</v>
      </c>
      <c r="H40" s="124">
        <v>110.41</v>
      </c>
    </row>
    <row r="41" spans="1:8" ht="78.75" x14ac:dyDescent="0.25">
      <c r="A41" s="121">
        <v>30</v>
      </c>
      <c r="B41" s="121">
        <v>9</v>
      </c>
      <c r="C41" s="122" t="s">
        <v>238</v>
      </c>
      <c r="D41" s="121">
        <v>20</v>
      </c>
      <c r="E41" s="121"/>
      <c r="F41" s="123">
        <f t="shared" si="3"/>
        <v>20</v>
      </c>
      <c r="G41" s="123">
        <f>1</f>
        <v>1</v>
      </c>
      <c r="H41" s="124">
        <v>113</v>
      </c>
    </row>
    <row r="42" spans="1:8" ht="78.75" x14ac:dyDescent="0.25">
      <c r="A42" s="121">
        <v>31</v>
      </c>
      <c r="B42" s="121">
        <v>9</v>
      </c>
      <c r="C42" s="122" t="s">
        <v>239</v>
      </c>
      <c r="D42" s="121">
        <v>20</v>
      </c>
      <c r="E42" s="121"/>
      <c r="F42" s="123">
        <f t="shared" si="3"/>
        <v>20</v>
      </c>
      <c r="G42" s="123">
        <f>1</f>
        <v>1</v>
      </c>
      <c r="H42" s="124">
        <v>110</v>
      </c>
    </row>
    <row r="43" spans="1:8" ht="78.75" x14ac:dyDescent="0.25">
      <c r="A43" s="121">
        <v>32</v>
      </c>
      <c r="B43" s="121">
        <v>9</v>
      </c>
      <c r="C43" s="122" t="s">
        <v>240</v>
      </c>
      <c r="D43" s="121">
        <v>20</v>
      </c>
      <c r="E43" s="121"/>
      <c r="F43" s="123">
        <f t="shared" si="3"/>
        <v>20</v>
      </c>
      <c r="G43" s="123">
        <f>1</f>
        <v>1</v>
      </c>
      <c r="H43" s="124">
        <v>145</v>
      </c>
    </row>
    <row r="44" spans="1:8" ht="78.75" x14ac:dyDescent="0.25">
      <c r="A44" s="121">
        <v>33</v>
      </c>
      <c r="B44" s="121">
        <v>9</v>
      </c>
      <c r="C44" s="122" t="s">
        <v>241</v>
      </c>
      <c r="D44" s="121">
        <v>20</v>
      </c>
      <c r="E44" s="121"/>
      <c r="F44" s="123">
        <f t="shared" si="3"/>
        <v>20</v>
      </c>
      <c r="G44" s="123">
        <f>1</f>
        <v>1</v>
      </c>
      <c r="H44" s="124">
        <v>110</v>
      </c>
    </row>
    <row r="45" spans="1:8" ht="78.75" x14ac:dyDescent="0.25">
      <c r="A45" s="121">
        <v>34</v>
      </c>
      <c r="B45" s="121">
        <v>9</v>
      </c>
      <c r="C45" s="122" t="s">
        <v>242</v>
      </c>
      <c r="D45" s="121">
        <v>20</v>
      </c>
      <c r="E45" s="121"/>
      <c r="F45" s="123">
        <f t="shared" si="3"/>
        <v>20</v>
      </c>
      <c r="G45" s="123">
        <f>1</f>
        <v>1</v>
      </c>
      <c r="H45" s="124">
        <v>204.5</v>
      </c>
    </row>
    <row r="46" spans="1:8" ht="78.75" x14ac:dyDescent="0.25">
      <c r="A46" s="121">
        <v>35</v>
      </c>
      <c r="B46" s="121">
        <v>9</v>
      </c>
      <c r="C46" s="122" t="s">
        <v>243</v>
      </c>
      <c r="D46" s="121">
        <v>20</v>
      </c>
      <c r="E46" s="121"/>
      <c r="F46" s="123">
        <f t="shared" si="3"/>
        <v>20</v>
      </c>
      <c r="G46" s="123">
        <f>1</f>
        <v>1</v>
      </c>
      <c r="H46" s="124">
        <v>115</v>
      </c>
    </row>
    <row r="47" spans="1:8" ht="78.75" x14ac:dyDescent="0.25">
      <c r="A47" s="121">
        <v>36</v>
      </c>
      <c r="B47" s="121">
        <v>9</v>
      </c>
      <c r="C47" s="122" t="s">
        <v>244</v>
      </c>
      <c r="D47" s="121">
        <v>20</v>
      </c>
      <c r="E47" s="121"/>
      <c r="F47" s="123">
        <f t="shared" si="3"/>
        <v>20</v>
      </c>
      <c r="G47" s="123"/>
      <c r="H47" s="124">
        <v>115</v>
      </c>
    </row>
    <row r="48" spans="1:8" ht="78.75" x14ac:dyDescent="0.25">
      <c r="A48" s="121">
        <v>37</v>
      </c>
      <c r="B48" s="121">
        <v>9</v>
      </c>
      <c r="C48" s="122" t="s">
        <v>245</v>
      </c>
      <c r="D48" s="121">
        <v>20</v>
      </c>
      <c r="E48" s="121"/>
      <c r="F48" s="123">
        <f t="shared" si="3"/>
        <v>20</v>
      </c>
      <c r="G48" s="123">
        <f>2+1</f>
        <v>3</v>
      </c>
      <c r="H48" s="124">
        <v>275</v>
      </c>
    </row>
    <row r="49" spans="1:8" ht="78.75" x14ac:dyDescent="0.25">
      <c r="A49" s="121">
        <v>38</v>
      </c>
      <c r="B49" s="121">
        <v>9</v>
      </c>
      <c r="C49" s="122" t="s">
        <v>246</v>
      </c>
      <c r="D49" s="121">
        <v>20</v>
      </c>
      <c r="E49" s="121"/>
      <c r="F49" s="123">
        <f t="shared" si="3"/>
        <v>20</v>
      </c>
      <c r="G49" s="123">
        <f>1</f>
        <v>1</v>
      </c>
      <c r="H49" s="124">
        <v>115</v>
      </c>
    </row>
    <row r="50" spans="1:8" ht="78.75" x14ac:dyDescent="0.25">
      <c r="A50" s="121">
        <v>39</v>
      </c>
      <c r="B50" s="121">
        <v>9</v>
      </c>
      <c r="C50" s="122" t="s">
        <v>247</v>
      </c>
      <c r="D50" s="121">
        <v>20</v>
      </c>
      <c r="E50" s="121"/>
      <c r="F50" s="123">
        <f t="shared" si="3"/>
        <v>20</v>
      </c>
      <c r="G50" s="123">
        <f>1</f>
        <v>1</v>
      </c>
      <c r="H50" s="124">
        <v>106.5</v>
      </c>
    </row>
    <row r="51" spans="1:8" ht="78.75" x14ac:dyDescent="0.25">
      <c r="A51" s="121">
        <v>40</v>
      </c>
      <c r="B51" s="121">
        <v>9</v>
      </c>
      <c r="C51" s="122" t="s">
        <v>248</v>
      </c>
      <c r="D51" s="121">
        <v>20</v>
      </c>
      <c r="E51" s="121"/>
      <c r="F51" s="123">
        <f t="shared" si="3"/>
        <v>20</v>
      </c>
      <c r="G51" s="123">
        <f>1</f>
        <v>1</v>
      </c>
      <c r="H51" s="124">
        <v>113</v>
      </c>
    </row>
    <row r="52" spans="1:8" ht="67.5" x14ac:dyDescent="0.25">
      <c r="A52" s="127">
        <v>41</v>
      </c>
      <c r="B52" s="127" t="s">
        <v>156</v>
      </c>
      <c r="C52" s="52" t="s">
        <v>249</v>
      </c>
      <c r="D52" s="210" t="s">
        <v>223</v>
      </c>
      <c r="E52" s="211"/>
      <c r="F52" s="211"/>
      <c r="G52" s="211"/>
      <c r="H52" s="211"/>
    </row>
    <row r="53" spans="1:8" ht="90" x14ac:dyDescent="0.25">
      <c r="A53" s="121">
        <v>42</v>
      </c>
      <c r="B53" s="121">
        <v>16</v>
      </c>
      <c r="C53" s="122" t="s">
        <v>250</v>
      </c>
      <c r="D53" s="121">
        <v>30</v>
      </c>
      <c r="E53" s="121"/>
      <c r="F53" s="123">
        <f t="shared" ref="F53:F55" si="4">D53-E53</f>
        <v>30</v>
      </c>
      <c r="G53" s="123">
        <f>1+14+3+10</f>
        <v>28</v>
      </c>
      <c r="H53" s="124">
        <v>23.99</v>
      </c>
    </row>
    <row r="54" spans="1:8" ht="33.75" x14ac:dyDescent="0.25">
      <c r="A54" s="121">
        <v>43</v>
      </c>
      <c r="B54" s="121">
        <v>13</v>
      </c>
      <c r="C54" s="122" t="s">
        <v>251</v>
      </c>
      <c r="D54" s="121">
        <v>300</v>
      </c>
      <c r="E54" s="121"/>
      <c r="F54" s="123">
        <f t="shared" si="4"/>
        <v>300</v>
      </c>
      <c r="G54" s="123">
        <f>100</f>
        <v>100</v>
      </c>
      <c r="H54" s="124">
        <v>1.82</v>
      </c>
    </row>
    <row r="55" spans="1:8" ht="33.75" x14ac:dyDescent="0.25">
      <c r="A55" s="121">
        <v>44</v>
      </c>
      <c r="B55" s="121">
        <v>13</v>
      </c>
      <c r="C55" s="122" t="s">
        <v>251</v>
      </c>
      <c r="D55" s="121">
        <v>300</v>
      </c>
      <c r="E55" s="121"/>
      <c r="F55" s="123">
        <f t="shared" si="4"/>
        <v>300</v>
      </c>
      <c r="G55" s="123"/>
      <c r="H55" s="124">
        <v>3.73</v>
      </c>
    </row>
    <row r="56" spans="1:8" ht="33.75" x14ac:dyDescent="0.25">
      <c r="A56" s="127">
        <v>45</v>
      </c>
      <c r="B56" s="127" t="s">
        <v>156</v>
      </c>
      <c r="C56" s="52" t="s">
        <v>252</v>
      </c>
      <c r="D56" s="210" t="s">
        <v>211</v>
      </c>
      <c r="E56" s="211"/>
      <c r="F56" s="211"/>
      <c r="G56" s="211"/>
      <c r="H56" s="211"/>
    </row>
    <row r="57" spans="1:8" ht="33.75" x14ac:dyDescent="0.25">
      <c r="A57" s="121">
        <v>46</v>
      </c>
      <c r="B57" s="121">
        <v>13</v>
      </c>
      <c r="C57" s="122" t="s">
        <v>253</v>
      </c>
      <c r="D57" s="121">
        <v>300</v>
      </c>
      <c r="E57" s="121"/>
      <c r="F57" s="123">
        <f t="shared" ref="F57:F59" si="5">D57-E57</f>
        <v>300</v>
      </c>
      <c r="G57" s="123">
        <f>200</f>
        <v>200</v>
      </c>
      <c r="H57" s="124">
        <v>1.67</v>
      </c>
    </row>
    <row r="58" spans="1:8" ht="33.75" x14ac:dyDescent="0.25">
      <c r="A58" s="121">
        <v>47</v>
      </c>
      <c r="B58" s="121">
        <v>13</v>
      </c>
      <c r="C58" s="122" t="s">
        <v>254</v>
      </c>
      <c r="D58" s="121">
        <v>100</v>
      </c>
      <c r="E58" s="121"/>
      <c r="F58" s="123">
        <f t="shared" si="5"/>
        <v>100</v>
      </c>
      <c r="G58" s="123">
        <f>20</f>
        <v>20</v>
      </c>
      <c r="H58" s="124">
        <v>3.95</v>
      </c>
    </row>
    <row r="59" spans="1:8" ht="33.75" x14ac:dyDescent="0.25">
      <c r="A59" s="121">
        <v>48</v>
      </c>
      <c r="B59" s="121">
        <v>13</v>
      </c>
      <c r="C59" s="122" t="s">
        <v>255</v>
      </c>
      <c r="D59" s="121">
        <v>300</v>
      </c>
      <c r="E59" s="121"/>
      <c r="F59" s="123">
        <f t="shared" si="5"/>
        <v>300</v>
      </c>
      <c r="G59" s="123">
        <f>100</f>
        <v>100</v>
      </c>
      <c r="H59" s="124">
        <v>2.29</v>
      </c>
    </row>
    <row r="60" spans="1:8" ht="22.5" x14ac:dyDescent="0.25">
      <c r="A60" s="125">
        <v>49</v>
      </c>
      <c r="B60" s="125">
        <v>14</v>
      </c>
      <c r="C60" s="67" t="s">
        <v>256</v>
      </c>
      <c r="D60" s="125">
        <v>100</v>
      </c>
      <c r="E60" s="125"/>
      <c r="F60" s="69">
        <f>D60-E60</f>
        <v>100</v>
      </c>
      <c r="G60" s="69"/>
      <c r="H60" s="126">
        <v>2.2200000000000002</v>
      </c>
    </row>
    <row r="61" spans="1:8" ht="22.5" x14ac:dyDescent="0.25">
      <c r="A61" s="121">
        <v>50</v>
      </c>
      <c r="B61" s="121">
        <v>13</v>
      </c>
      <c r="C61" s="122" t="s">
        <v>257</v>
      </c>
      <c r="D61" s="121">
        <v>300</v>
      </c>
      <c r="E61" s="121"/>
      <c r="F61" s="123">
        <f>D61-E61</f>
        <v>300</v>
      </c>
      <c r="G61" s="123">
        <f>50</f>
        <v>50</v>
      </c>
      <c r="H61" s="124">
        <v>2.17</v>
      </c>
    </row>
    <row r="62" spans="1:8" ht="22.5" x14ac:dyDescent="0.25">
      <c r="A62" s="125">
        <v>51</v>
      </c>
      <c r="B62" s="125">
        <v>14</v>
      </c>
      <c r="C62" s="67" t="s">
        <v>258</v>
      </c>
      <c r="D62" s="125">
        <v>100</v>
      </c>
      <c r="E62" s="125"/>
      <c r="F62" s="69">
        <f>D62-E62</f>
        <v>100</v>
      </c>
      <c r="G62" s="69"/>
      <c r="H62" s="126">
        <v>2.4300000000000002</v>
      </c>
    </row>
    <row r="63" spans="1:8" ht="22.5" x14ac:dyDescent="0.25">
      <c r="A63" s="125">
        <v>52</v>
      </c>
      <c r="B63" s="125">
        <v>14</v>
      </c>
      <c r="C63" s="67" t="s">
        <v>259</v>
      </c>
      <c r="D63" s="125">
        <v>300</v>
      </c>
      <c r="E63" s="125"/>
      <c r="F63" s="69">
        <f>D63-E63</f>
        <v>300</v>
      </c>
      <c r="G63" s="69"/>
      <c r="H63" s="126">
        <v>2.2599999999999998</v>
      </c>
    </row>
    <row r="64" spans="1:8" ht="135" x14ac:dyDescent="0.25">
      <c r="A64" s="127">
        <v>53</v>
      </c>
      <c r="B64" s="127" t="s">
        <v>156</v>
      </c>
      <c r="C64" s="52" t="s">
        <v>260</v>
      </c>
      <c r="D64" s="210" t="s">
        <v>211</v>
      </c>
      <c r="E64" s="211"/>
      <c r="F64" s="211"/>
      <c r="G64" s="211"/>
      <c r="H64" s="211"/>
    </row>
    <row r="65" spans="1:8" ht="67.5" x14ac:dyDescent="0.25">
      <c r="A65" s="125">
        <v>54</v>
      </c>
      <c r="B65" s="125">
        <v>2</v>
      </c>
      <c r="C65" s="67" t="s">
        <v>261</v>
      </c>
      <c r="D65" s="125">
        <v>300</v>
      </c>
      <c r="E65" s="125"/>
      <c r="F65" s="69">
        <f t="shared" ref="F65:F66" si="6">D65-E65</f>
        <v>300</v>
      </c>
      <c r="G65" s="69"/>
      <c r="H65" s="126">
        <v>5.93</v>
      </c>
    </row>
    <row r="66" spans="1:8" ht="67.5" x14ac:dyDescent="0.25">
      <c r="A66" s="125">
        <v>55</v>
      </c>
      <c r="B66" s="125">
        <v>2</v>
      </c>
      <c r="C66" s="67" t="s">
        <v>262</v>
      </c>
      <c r="D66" s="125">
        <v>40</v>
      </c>
      <c r="E66" s="125"/>
      <c r="F66" s="69">
        <f t="shared" si="6"/>
        <v>40</v>
      </c>
      <c r="G66" s="69"/>
      <c r="H66" s="126">
        <v>5.19</v>
      </c>
    </row>
    <row r="67" spans="1:8" ht="123.75" x14ac:dyDescent="0.25">
      <c r="A67" s="128">
        <v>56</v>
      </c>
      <c r="B67" s="128">
        <v>16</v>
      </c>
      <c r="C67" s="129" t="s">
        <v>263</v>
      </c>
      <c r="D67" s="128">
        <v>100</v>
      </c>
      <c r="E67" s="128"/>
      <c r="F67" s="130">
        <f>D67-E67</f>
        <v>100</v>
      </c>
      <c r="G67" s="130">
        <f>100</f>
        <v>100</v>
      </c>
      <c r="H67" s="131">
        <v>5.6</v>
      </c>
    </row>
    <row r="68" spans="1:8" ht="67.5" x14ac:dyDescent="0.25">
      <c r="A68" s="127">
        <v>57</v>
      </c>
      <c r="B68" s="127" t="s">
        <v>156</v>
      </c>
      <c r="C68" s="52" t="s">
        <v>264</v>
      </c>
      <c r="D68" s="210" t="s">
        <v>211</v>
      </c>
      <c r="E68" s="211"/>
      <c r="F68" s="211"/>
      <c r="G68" s="211"/>
      <c r="H68" s="211"/>
    </row>
    <row r="69" spans="1:8" ht="123.75" x14ac:dyDescent="0.25">
      <c r="A69" s="127">
        <v>58</v>
      </c>
      <c r="B69" s="127" t="s">
        <v>156</v>
      </c>
      <c r="C69" s="52" t="s">
        <v>265</v>
      </c>
      <c r="D69" s="210" t="s">
        <v>211</v>
      </c>
      <c r="E69" s="211"/>
      <c r="F69" s="211"/>
      <c r="G69" s="211"/>
      <c r="H69" s="211"/>
    </row>
    <row r="70" spans="1:8" ht="123.75" x14ac:dyDescent="0.25">
      <c r="A70" s="125">
        <v>59</v>
      </c>
      <c r="B70" s="125">
        <v>2</v>
      </c>
      <c r="C70" s="67" t="s">
        <v>266</v>
      </c>
      <c r="D70" s="125">
        <v>150</v>
      </c>
      <c r="E70" s="125"/>
      <c r="F70" s="69">
        <f>D70-E70</f>
        <v>150</v>
      </c>
      <c r="G70" s="69"/>
      <c r="H70" s="126">
        <v>6.47</v>
      </c>
    </row>
    <row r="71" spans="1:8" ht="123.75" x14ac:dyDescent="0.25">
      <c r="A71" s="121">
        <v>60</v>
      </c>
      <c r="B71" s="121">
        <v>16</v>
      </c>
      <c r="C71" s="122" t="s">
        <v>267</v>
      </c>
      <c r="D71" s="121">
        <v>150</v>
      </c>
      <c r="E71" s="121"/>
      <c r="F71" s="123">
        <f>D71-E71</f>
        <v>150</v>
      </c>
      <c r="G71" s="123">
        <f>10</f>
        <v>10</v>
      </c>
      <c r="H71" s="124">
        <v>33.4</v>
      </c>
    </row>
    <row r="72" spans="1:8" ht="90" x14ac:dyDescent="0.25">
      <c r="A72" s="125">
        <v>61</v>
      </c>
      <c r="B72" s="125">
        <v>2</v>
      </c>
      <c r="C72" s="67" t="s">
        <v>268</v>
      </c>
      <c r="D72" s="125">
        <v>50</v>
      </c>
      <c r="E72" s="125"/>
      <c r="F72" s="69">
        <f>D72-E72</f>
        <v>50</v>
      </c>
      <c r="G72" s="69"/>
      <c r="H72" s="126">
        <v>59.44</v>
      </c>
    </row>
    <row r="73" spans="1:8" ht="45" x14ac:dyDescent="0.25">
      <c r="A73" s="127">
        <v>62</v>
      </c>
      <c r="B73" s="127" t="s">
        <v>156</v>
      </c>
      <c r="C73" s="52" t="s">
        <v>269</v>
      </c>
      <c r="D73" s="210" t="s">
        <v>211</v>
      </c>
      <c r="E73" s="211"/>
      <c r="F73" s="211"/>
      <c r="G73" s="211"/>
      <c r="H73" s="211"/>
    </row>
    <row r="74" spans="1:8" ht="45" x14ac:dyDescent="0.25">
      <c r="A74" s="127">
        <v>63</v>
      </c>
      <c r="B74" s="127" t="s">
        <v>156</v>
      </c>
      <c r="C74" s="52" t="s">
        <v>270</v>
      </c>
      <c r="D74" s="210" t="s">
        <v>211</v>
      </c>
      <c r="E74" s="211"/>
      <c r="F74" s="211"/>
      <c r="G74" s="211"/>
      <c r="H74" s="211"/>
    </row>
    <row r="75" spans="1:8" ht="33.75" x14ac:dyDescent="0.25">
      <c r="A75" s="127">
        <v>64</v>
      </c>
      <c r="B75" s="127" t="s">
        <v>156</v>
      </c>
      <c r="C75" s="52" t="s">
        <v>271</v>
      </c>
      <c r="D75" s="210" t="s">
        <v>211</v>
      </c>
      <c r="E75" s="211"/>
      <c r="F75" s="211"/>
      <c r="G75" s="211"/>
      <c r="H75" s="211"/>
    </row>
    <row r="76" spans="1:8" ht="33.75" x14ac:dyDescent="0.25">
      <c r="A76" s="121">
        <v>65</v>
      </c>
      <c r="B76" s="121">
        <v>16</v>
      </c>
      <c r="C76" s="122" t="s">
        <v>272</v>
      </c>
      <c r="D76" s="121">
        <v>100</v>
      </c>
      <c r="E76" s="121"/>
      <c r="F76" s="123">
        <f>D76-E76</f>
        <v>100</v>
      </c>
      <c r="G76" s="123">
        <f>20</f>
        <v>20</v>
      </c>
      <c r="H76" s="124">
        <v>4.17</v>
      </c>
    </row>
    <row r="77" spans="1:8" ht="33.75" x14ac:dyDescent="0.25">
      <c r="A77" s="127">
        <v>66</v>
      </c>
      <c r="B77" s="127" t="s">
        <v>156</v>
      </c>
      <c r="C77" s="52" t="s">
        <v>273</v>
      </c>
      <c r="D77" s="210" t="s">
        <v>211</v>
      </c>
      <c r="E77" s="211"/>
      <c r="F77" s="211"/>
      <c r="G77" s="211"/>
      <c r="H77" s="211"/>
    </row>
    <row r="78" spans="1:8" ht="33.75" x14ac:dyDescent="0.25">
      <c r="A78" s="121">
        <v>67</v>
      </c>
      <c r="B78" s="121">
        <v>16</v>
      </c>
      <c r="C78" s="122" t="s">
        <v>274</v>
      </c>
      <c r="D78" s="121">
        <v>100</v>
      </c>
      <c r="E78" s="121"/>
      <c r="F78" s="123"/>
      <c r="G78" s="123"/>
      <c r="H78" s="124">
        <v>4.41</v>
      </c>
    </row>
    <row r="79" spans="1:8" ht="33.75" x14ac:dyDescent="0.25">
      <c r="A79" s="127">
        <v>68</v>
      </c>
      <c r="B79" s="127" t="s">
        <v>156</v>
      </c>
      <c r="C79" s="52" t="s">
        <v>275</v>
      </c>
      <c r="D79" s="210" t="s">
        <v>211</v>
      </c>
      <c r="E79" s="211"/>
      <c r="F79" s="211"/>
      <c r="G79" s="211"/>
      <c r="H79" s="211"/>
    </row>
    <row r="80" spans="1:8" ht="33.75" x14ac:dyDescent="0.25">
      <c r="A80" s="121">
        <v>69</v>
      </c>
      <c r="B80" s="121">
        <v>16</v>
      </c>
      <c r="C80" s="122" t="s">
        <v>276</v>
      </c>
      <c r="D80" s="121">
        <v>150</v>
      </c>
      <c r="E80" s="121"/>
      <c r="F80" s="123">
        <f>D80-E80</f>
        <v>150</v>
      </c>
      <c r="G80" s="123"/>
      <c r="H80" s="124">
        <v>4.32</v>
      </c>
    </row>
    <row r="81" spans="1:10" ht="56.25" x14ac:dyDescent="0.25">
      <c r="A81" s="125">
        <v>70</v>
      </c>
      <c r="B81" s="125">
        <v>14</v>
      </c>
      <c r="C81" s="67" t="s">
        <v>277</v>
      </c>
      <c r="D81" s="125">
        <v>100</v>
      </c>
      <c r="E81" s="125"/>
      <c r="F81" s="69">
        <f>D81-E81</f>
        <v>100</v>
      </c>
      <c r="G81" s="69"/>
      <c r="H81" s="126">
        <v>572.29999999999995</v>
      </c>
    </row>
    <row r="82" spans="1:10" ht="33.75" x14ac:dyDescent="0.25">
      <c r="A82" s="125">
        <v>71</v>
      </c>
      <c r="B82" s="125">
        <v>14</v>
      </c>
      <c r="C82" s="67" t="s">
        <v>278</v>
      </c>
      <c r="D82" s="125">
        <v>130</v>
      </c>
      <c r="E82" s="125"/>
      <c r="F82" s="69">
        <f>D82-E82</f>
        <v>130</v>
      </c>
      <c r="G82" s="69"/>
      <c r="H82" s="126">
        <v>13</v>
      </c>
    </row>
    <row r="83" spans="1:10" ht="56.25" x14ac:dyDescent="0.25">
      <c r="A83" s="127">
        <v>72</v>
      </c>
      <c r="B83" s="127" t="s">
        <v>156</v>
      </c>
      <c r="C83" s="52" t="s">
        <v>279</v>
      </c>
      <c r="D83" s="210" t="s">
        <v>211</v>
      </c>
      <c r="E83" s="211"/>
      <c r="F83" s="211"/>
      <c r="G83" s="211"/>
      <c r="H83" s="211"/>
    </row>
    <row r="84" spans="1:10" ht="45" x14ac:dyDescent="0.25">
      <c r="A84" s="125">
        <v>73</v>
      </c>
      <c r="B84" s="125">
        <v>14</v>
      </c>
      <c r="C84" s="67" t="s">
        <v>280</v>
      </c>
      <c r="D84" s="125">
        <v>100</v>
      </c>
      <c r="E84" s="125"/>
      <c r="F84" s="69">
        <f t="shared" ref="F84:F85" si="7">D84-E84</f>
        <v>100</v>
      </c>
      <c r="G84" s="69"/>
      <c r="H84" s="126">
        <v>13.67</v>
      </c>
    </row>
    <row r="85" spans="1:10" ht="45" x14ac:dyDescent="0.25">
      <c r="A85" s="125">
        <v>74</v>
      </c>
      <c r="B85" s="125">
        <v>14</v>
      </c>
      <c r="C85" s="67" t="s">
        <v>281</v>
      </c>
      <c r="D85" s="125">
        <v>120</v>
      </c>
      <c r="E85" s="125"/>
      <c r="F85" s="69">
        <f t="shared" si="7"/>
        <v>120</v>
      </c>
      <c r="G85" s="69"/>
      <c r="H85" s="126">
        <v>17.29</v>
      </c>
    </row>
    <row r="86" spans="1:10" ht="56.25" x14ac:dyDescent="0.25">
      <c r="A86" s="127">
        <v>75</v>
      </c>
      <c r="B86" s="127" t="s">
        <v>156</v>
      </c>
      <c r="C86" s="52" t="s">
        <v>282</v>
      </c>
      <c r="D86" s="210" t="s">
        <v>211</v>
      </c>
      <c r="E86" s="211"/>
      <c r="F86" s="211"/>
      <c r="G86" s="211"/>
      <c r="H86" s="211"/>
    </row>
    <row r="87" spans="1:10" ht="56.25" x14ac:dyDescent="0.25">
      <c r="A87" s="127">
        <v>76</v>
      </c>
      <c r="B87" s="127" t="s">
        <v>156</v>
      </c>
      <c r="C87" s="52" t="s">
        <v>283</v>
      </c>
      <c r="D87" s="210" t="s">
        <v>211</v>
      </c>
      <c r="E87" s="211"/>
      <c r="F87" s="211"/>
      <c r="G87" s="211"/>
      <c r="H87" s="211"/>
    </row>
    <row r="88" spans="1:10" ht="45" x14ac:dyDescent="0.25">
      <c r="A88" s="121">
        <v>77</v>
      </c>
      <c r="B88" s="121">
        <v>8</v>
      </c>
      <c r="C88" s="122" t="s">
        <v>284</v>
      </c>
      <c r="D88" s="121">
        <v>100</v>
      </c>
      <c r="E88" s="121"/>
      <c r="F88" s="123">
        <f>D88-E88</f>
        <v>100</v>
      </c>
      <c r="G88" s="123">
        <f>1</f>
        <v>1</v>
      </c>
      <c r="H88" s="124">
        <v>457.9</v>
      </c>
    </row>
    <row r="89" spans="1:10" ht="90" x14ac:dyDescent="0.25">
      <c r="A89" s="127">
        <v>78</v>
      </c>
      <c r="B89" s="127" t="s">
        <v>156</v>
      </c>
      <c r="C89" s="52" t="s">
        <v>285</v>
      </c>
      <c r="D89" s="210" t="s">
        <v>211</v>
      </c>
      <c r="E89" s="211"/>
      <c r="F89" s="211"/>
      <c r="G89" s="211"/>
      <c r="H89" s="211"/>
    </row>
    <row r="90" spans="1:10" ht="45" x14ac:dyDescent="0.25">
      <c r="A90" s="127">
        <v>79</v>
      </c>
      <c r="B90" s="127" t="s">
        <v>156</v>
      </c>
      <c r="C90" s="52" t="s">
        <v>286</v>
      </c>
      <c r="D90" s="210" t="s">
        <v>211</v>
      </c>
      <c r="E90" s="211"/>
      <c r="F90" s="211"/>
      <c r="G90" s="211"/>
      <c r="H90" s="211"/>
      <c r="J90" t="str">
        <f>LOWER(C90)</f>
        <v>placa de petri, material vidro, forma redonda, dimensões de 150 de diâmetro x 20mm</v>
      </c>
    </row>
    <row r="91" spans="1:10" ht="56.25" x14ac:dyDescent="0.25">
      <c r="A91" s="127">
        <v>80</v>
      </c>
      <c r="B91" s="127" t="s">
        <v>156</v>
      </c>
      <c r="C91" s="52" t="s">
        <v>287</v>
      </c>
      <c r="D91" s="210" t="s">
        <v>211</v>
      </c>
      <c r="E91" s="211"/>
      <c r="F91" s="211"/>
      <c r="G91" s="211"/>
      <c r="H91" s="211"/>
    </row>
    <row r="92" spans="1:10" ht="56.25" x14ac:dyDescent="0.25">
      <c r="A92" s="127">
        <v>81</v>
      </c>
      <c r="B92" s="127" t="s">
        <v>156</v>
      </c>
      <c r="C92" s="52" t="s">
        <v>288</v>
      </c>
      <c r="D92" s="210" t="s">
        <v>211</v>
      </c>
      <c r="E92" s="211"/>
      <c r="F92" s="211"/>
      <c r="G92" s="211"/>
      <c r="H92" s="211"/>
    </row>
    <row r="93" spans="1:10" ht="56.25" x14ac:dyDescent="0.25">
      <c r="A93" s="127">
        <v>82</v>
      </c>
      <c r="B93" s="127" t="s">
        <v>156</v>
      </c>
      <c r="C93" s="52" t="s">
        <v>289</v>
      </c>
      <c r="D93" s="210" t="s">
        <v>211</v>
      </c>
      <c r="E93" s="211"/>
      <c r="F93" s="211"/>
      <c r="G93" s="211"/>
      <c r="H93" s="211"/>
    </row>
    <row r="94" spans="1:10" ht="90" x14ac:dyDescent="0.25">
      <c r="A94" s="125">
        <v>83</v>
      </c>
      <c r="B94" s="125">
        <v>14</v>
      </c>
      <c r="C94" s="67" t="s">
        <v>290</v>
      </c>
      <c r="D94" s="125">
        <v>1970</v>
      </c>
      <c r="E94" s="125"/>
      <c r="F94" s="69">
        <f>D94-E94</f>
        <v>1970</v>
      </c>
      <c r="G94" s="69"/>
      <c r="H94" s="126">
        <v>3.25</v>
      </c>
    </row>
    <row r="95" spans="1:10" ht="101.25" x14ac:dyDescent="0.25">
      <c r="A95" s="121">
        <v>84</v>
      </c>
      <c r="B95" s="121">
        <v>11</v>
      </c>
      <c r="C95" s="122" t="s">
        <v>291</v>
      </c>
      <c r="D95" s="121">
        <v>100</v>
      </c>
      <c r="E95" s="121"/>
      <c r="F95" s="123">
        <f t="shared" ref="F95:F97" si="8">D95-E95</f>
        <v>100</v>
      </c>
      <c r="G95" s="123">
        <f>1+20+1+9</f>
        <v>31</v>
      </c>
      <c r="H95" s="124">
        <v>45</v>
      </c>
    </row>
    <row r="96" spans="1:10" ht="56.25" x14ac:dyDescent="0.25">
      <c r="A96" s="121">
        <v>85</v>
      </c>
      <c r="B96" s="121">
        <v>11</v>
      </c>
      <c r="C96" s="122" t="s">
        <v>292</v>
      </c>
      <c r="D96" s="121">
        <v>50</v>
      </c>
      <c r="E96" s="121"/>
      <c r="F96" s="123">
        <f t="shared" si="8"/>
        <v>50</v>
      </c>
      <c r="G96" s="123">
        <f>1+10+1+5+4</f>
        <v>21</v>
      </c>
      <c r="H96" s="124">
        <v>16</v>
      </c>
    </row>
    <row r="97" spans="1:8" ht="56.25" x14ac:dyDescent="0.25">
      <c r="A97" s="125">
        <v>86</v>
      </c>
      <c r="B97" s="125">
        <v>14</v>
      </c>
      <c r="C97" s="67" t="s">
        <v>293</v>
      </c>
      <c r="D97" s="125">
        <v>70</v>
      </c>
      <c r="E97" s="125"/>
      <c r="F97" s="69">
        <f t="shared" si="8"/>
        <v>70</v>
      </c>
      <c r="G97" s="69"/>
      <c r="H97" s="126">
        <v>26</v>
      </c>
    </row>
    <row r="98" spans="1:8" ht="56.25" x14ac:dyDescent="0.25">
      <c r="A98" s="125">
        <v>87</v>
      </c>
      <c r="B98" s="125">
        <v>14</v>
      </c>
      <c r="C98" s="67" t="s">
        <v>294</v>
      </c>
      <c r="D98" s="125">
        <v>60</v>
      </c>
      <c r="E98" s="125"/>
      <c r="F98" s="69">
        <f>D98-E98</f>
        <v>60</v>
      </c>
      <c r="G98" s="69"/>
      <c r="H98" s="126">
        <v>21.96</v>
      </c>
    </row>
    <row r="99" spans="1:8" ht="45" x14ac:dyDescent="0.25">
      <c r="A99" s="127">
        <v>88</v>
      </c>
      <c r="B99" s="127" t="s">
        <v>156</v>
      </c>
      <c r="C99" s="52" t="s">
        <v>295</v>
      </c>
      <c r="D99" s="210" t="s">
        <v>211</v>
      </c>
      <c r="E99" s="211"/>
      <c r="F99" s="211"/>
      <c r="G99" s="211"/>
      <c r="H99" s="211"/>
    </row>
    <row r="100" spans="1:8" ht="56.25" x14ac:dyDescent="0.25">
      <c r="A100" s="125">
        <v>89</v>
      </c>
      <c r="B100" s="125">
        <v>2</v>
      </c>
      <c r="C100" s="67" t="s">
        <v>296</v>
      </c>
      <c r="D100" s="125">
        <v>200</v>
      </c>
      <c r="E100" s="125"/>
      <c r="F100" s="69">
        <f>D100-E100</f>
        <v>200</v>
      </c>
      <c r="G100" s="69"/>
      <c r="H100" s="126">
        <v>4.6100000000000003</v>
      </c>
    </row>
    <row r="101" spans="1:8" ht="56.25" x14ac:dyDescent="0.25">
      <c r="A101" s="125">
        <v>90</v>
      </c>
      <c r="B101" s="125">
        <v>2</v>
      </c>
      <c r="C101" s="67" t="s">
        <v>297</v>
      </c>
      <c r="D101" s="125">
        <v>250</v>
      </c>
      <c r="E101" s="125"/>
      <c r="F101" s="69">
        <f>D101-E101</f>
        <v>250</v>
      </c>
      <c r="G101" s="69"/>
      <c r="H101" s="126">
        <v>3.35</v>
      </c>
    </row>
    <row r="102" spans="1:8" ht="56.25" x14ac:dyDescent="0.25">
      <c r="A102" s="127">
        <v>91</v>
      </c>
      <c r="B102" s="127" t="s">
        <v>156</v>
      </c>
      <c r="C102" s="52" t="s">
        <v>298</v>
      </c>
      <c r="D102" s="210" t="s">
        <v>211</v>
      </c>
      <c r="E102" s="211"/>
      <c r="F102" s="211"/>
      <c r="G102" s="211"/>
      <c r="H102" s="211"/>
    </row>
    <row r="103" spans="1:8" ht="56.25" x14ac:dyDescent="0.25">
      <c r="A103" s="125">
        <v>92</v>
      </c>
      <c r="B103" s="125">
        <v>2</v>
      </c>
      <c r="C103" s="67" t="s">
        <v>299</v>
      </c>
      <c r="D103" s="125">
        <v>250</v>
      </c>
      <c r="E103" s="125"/>
      <c r="F103" s="69">
        <f>D103-E103</f>
        <v>250</v>
      </c>
      <c r="G103" s="69"/>
      <c r="H103" s="126">
        <v>5.12</v>
      </c>
    </row>
    <row r="104" spans="1:8" ht="56.25" x14ac:dyDescent="0.25">
      <c r="A104" s="127">
        <v>93</v>
      </c>
      <c r="B104" s="127" t="s">
        <v>156</v>
      </c>
      <c r="C104" s="52" t="s">
        <v>300</v>
      </c>
      <c r="D104" s="210" t="s">
        <v>211</v>
      </c>
      <c r="E104" s="211"/>
      <c r="F104" s="211"/>
      <c r="G104" s="211"/>
      <c r="H104" s="211"/>
    </row>
    <row r="105" spans="1:8" ht="56.25" x14ac:dyDescent="0.25">
      <c r="A105" s="125">
        <v>94</v>
      </c>
      <c r="B105" s="125">
        <v>2</v>
      </c>
      <c r="C105" s="67" t="s">
        <v>301</v>
      </c>
      <c r="D105" s="125">
        <v>250</v>
      </c>
      <c r="E105" s="125"/>
      <c r="F105" s="69">
        <f>D105-E105</f>
        <v>250</v>
      </c>
      <c r="G105" s="69"/>
      <c r="H105" s="126">
        <v>4.49</v>
      </c>
    </row>
    <row r="106" spans="1:8" ht="56.25" x14ac:dyDescent="0.25">
      <c r="A106" s="127">
        <v>95</v>
      </c>
      <c r="B106" s="127" t="s">
        <v>156</v>
      </c>
      <c r="C106" s="52" t="s">
        <v>302</v>
      </c>
      <c r="D106" s="210" t="s">
        <v>211</v>
      </c>
      <c r="E106" s="211"/>
      <c r="F106" s="211"/>
      <c r="G106" s="211"/>
      <c r="H106" s="211"/>
    </row>
    <row r="107" spans="1:8" ht="112.5" x14ac:dyDescent="0.25">
      <c r="A107" s="127">
        <v>96</v>
      </c>
      <c r="B107" s="127" t="s">
        <v>156</v>
      </c>
      <c r="C107" s="52" t="s">
        <v>303</v>
      </c>
      <c r="D107" s="210" t="s">
        <v>211</v>
      </c>
      <c r="E107" s="211"/>
      <c r="F107" s="211"/>
      <c r="G107" s="211"/>
      <c r="H107" s="211"/>
    </row>
    <row r="108" spans="1:8" ht="78.75" x14ac:dyDescent="0.25">
      <c r="A108" s="127">
        <v>97</v>
      </c>
      <c r="B108" s="127" t="s">
        <v>156</v>
      </c>
      <c r="C108" s="52" t="s">
        <v>304</v>
      </c>
      <c r="D108" s="210" t="s">
        <v>211</v>
      </c>
      <c r="E108" s="211"/>
      <c r="F108" s="211"/>
      <c r="G108" s="211"/>
      <c r="H108" s="211"/>
    </row>
    <row r="109" spans="1:8" ht="78.75" x14ac:dyDescent="0.25">
      <c r="A109" s="127">
        <v>98</v>
      </c>
      <c r="B109" s="127" t="s">
        <v>156</v>
      </c>
      <c r="C109" s="52" t="s">
        <v>305</v>
      </c>
      <c r="D109" s="210" t="s">
        <v>211</v>
      </c>
      <c r="E109" s="211"/>
      <c r="F109" s="211"/>
      <c r="G109" s="211"/>
      <c r="H109" s="211"/>
    </row>
    <row r="110" spans="1:8" ht="78.75" x14ac:dyDescent="0.25">
      <c r="A110" s="127">
        <v>99</v>
      </c>
      <c r="B110" s="127" t="s">
        <v>156</v>
      </c>
      <c r="C110" s="52" t="s">
        <v>306</v>
      </c>
      <c r="D110" s="210" t="s">
        <v>211</v>
      </c>
      <c r="E110" s="211"/>
      <c r="F110" s="211"/>
      <c r="G110" s="211"/>
      <c r="H110" s="211"/>
    </row>
    <row r="111" spans="1:8" ht="78.75" x14ac:dyDescent="0.25">
      <c r="A111" s="127">
        <v>100</v>
      </c>
      <c r="B111" s="127" t="s">
        <v>156</v>
      </c>
      <c r="C111" s="52" t="s">
        <v>307</v>
      </c>
      <c r="D111" s="210" t="s">
        <v>211</v>
      </c>
      <c r="E111" s="211"/>
      <c r="F111" s="211"/>
      <c r="G111" s="211"/>
      <c r="H111" s="211"/>
    </row>
    <row r="112" spans="1:8" ht="78.75" x14ac:dyDescent="0.25">
      <c r="A112" s="127">
        <v>101</v>
      </c>
      <c r="B112" s="127" t="s">
        <v>156</v>
      </c>
      <c r="C112" s="52" t="s">
        <v>308</v>
      </c>
      <c r="D112" s="210" t="s">
        <v>211</v>
      </c>
      <c r="E112" s="211"/>
      <c r="F112" s="211"/>
      <c r="G112" s="211"/>
      <c r="H112" s="211"/>
    </row>
    <row r="113" spans="1:8" ht="33.75" x14ac:dyDescent="0.25">
      <c r="A113" s="127">
        <v>102</v>
      </c>
      <c r="B113" s="127" t="s">
        <v>156</v>
      </c>
      <c r="C113" s="52" t="s">
        <v>309</v>
      </c>
      <c r="D113" s="210" t="s">
        <v>211</v>
      </c>
      <c r="E113" s="211"/>
      <c r="F113" s="211"/>
      <c r="G113" s="211"/>
      <c r="H113" s="211"/>
    </row>
    <row r="114" spans="1:8" ht="33.75" x14ac:dyDescent="0.25">
      <c r="A114" s="127">
        <v>103</v>
      </c>
      <c r="B114" s="127" t="s">
        <v>156</v>
      </c>
      <c r="C114" s="52" t="s">
        <v>310</v>
      </c>
      <c r="D114" s="210" t="s">
        <v>211</v>
      </c>
      <c r="E114" s="211"/>
      <c r="F114" s="211"/>
      <c r="G114" s="211"/>
      <c r="H114" s="211"/>
    </row>
    <row r="115" spans="1:8" ht="33.75" x14ac:dyDescent="0.25">
      <c r="A115" s="127">
        <v>104</v>
      </c>
      <c r="B115" s="127" t="s">
        <v>156</v>
      </c>
      <c r="C115" s="52" t="s">
        <v>311</v>
      </c>
      <c r="D115" s="210" t="s">
        <v>211</v>
      </c>
      <c r="E115" s="211"/>
      <c r="F115" s="211"/>
      <c r="G115" s="211"/>
      <c r="H115" s="211"/>
    </row>
    <row r="116" spans="1:8" ht="33.75" x14ac:dyDescent="0.25">
      <c r="A116" s="127">
        <v>105</v>
      </c>
      <c r="B116" s="127" t="s">
        <v>156</v>
      </c>
      <c r="C116" s="52" t="s">
        <v>312</v>
      </c>
      <c r="D116" s="210" t="s">
        <v>211</v>
      </c>
      <c r="E116" s="211"/>
      <c r="F116" s="211"/>
      <c r="G116" s="211"/>
      <c r="H116" s="211"/>
    </row>
    <row r="117" spans="1:8" ht="33.75" x14ac:dyDescent="0.25">
      <c r="A117" s="127">
        <v>106</v>
      </c>
      <c r="B117" s="127" t="s">
        <v>156</v>
      </c>
      <c r="C117" s="52" t="s">
        <v>313</v>
      </c>
      <c r="D117" s="210" t="s">
        <v>211</v>
      </c>
      <c r="E117" s="211"/>
      <c r="F117" s="211"/>
      <c r="G117" s="211"/>
      <c r="H117" s="211"/>
    </row>
    <row r="118" spans="1:8" ht="33.75" x14ac:dyDescent="0.25">
      <c r="A118" s="127">
        <v>107</v>
      </c>
      <c r="B118" s="127" t="s">
        <v>156</v>
      </c>
      <c r="C118" s="52" t="s">
        <v>314</v>
      </c>
      <c r="D118" s="210" t="s">
        <v>211</v>
      </c>
      <c r="E118" s="211"/>
      <c r="F118" s="211"/>
      <c r="G118" s="211"/>
      <c r="H118" s="211"/>
    </row>
    <row r="119" spans="1:8" ht="33.75" x14ac:dyDescent="0.25">
      <c r="A119" s="127">
        <v>108</v>
      </c>
      <c r="B119" s="127" t="s">
        <v>156</v>
      </c>
      <c r="C119" s="52" t="s">
        <v>315</v>
      </c>
      <c r="D119" s="210" t="s">
        <v>211</v>
      </c>
      <c r="E119" s="211"/>
      <c r="F119" s="211"/>
      <c r="G119" s="211"/>
      <c r="H119" s="211"/>
    </row>
    <row r="120" spans="1:8" ht="67.5" x14ac:dyDescent="0.25">
      <c r="A120" s="127">
        <v>109</v>
      </c>
      <c r="B120" s="127" t="s">
        <v>156</v>
      </c>
      <c r="C120" s="52" t="s">
        <v>316</v>
      </c>
      <c r="D120" s="210" t="s">
        <v>211</v>
      </c>
      <c r="E120" s="211"/>
      <c r="F120" s="211"/>
      <c r="G120" s="211"/>
      <c r="H120" s="211"/>
    </row>
    <row r="121" spans="1:8" ht="67.5" x14ac:dyDescent="0.25">
      <c r="A121" s="127">
        <v>110</v>
      </c>
      <c r="B121" s="127" t="s">
        <v>156</v>
      </c>
      <c r="C121" s="52" t="s">
        <v>317</v>
      </c>
      <c r="D121" s="210" t="s">
        <v>211</v>
      </c>
      <c r="E121" s="211"/>
      <c r="F121" s="211"/>
      <c r="G121" s="211"/>
      <c r="H121" s="211"/>
    </row>
    <row r="122" spans="1:8" ht="67.5" x14ac:dyDescent="0.25">
      <c r="A122" s="127">
        <v>111</v>
      </c>
      <c r="B122" s="127" t="s">
        <v>156</v>
      </c>
      <c r="C122" s="52" t="s">
        <v>318</v>
      </c>
      <c r="D122" s="210" t="s">
        <v>211</v>
      </c>
      <c r="E122" s="211"/>
      <c r="F122" s="211"/>
      <c r="G122" s="211"/>
      <c r="H122" s="211"/>
    </row>
    <row r="123" spans="1:8" ht="67.5" x14ac:dyDescent="0.25">
      <c r="A123" s="127">
        <v>112</v>
      </c>
      <c r="B123" s="127" t="s">
        <v>156</v>
      </c>
      <c r="C123" s="52" t="s">
        <v>319</v>
      </c>
      <c r="D123" s="210" t="s">
        <v>211</v>
      </c>
      <c r="E123" s="211"/>
      <c r="F123" s="211"/>
      <c r="G123" s="211"/>
      <c r="H123" s="211"/>
    </row>
    <row r="124" spans="1:8" ht="67.5" x14ac:dyDescent="0.25">
      <c r="A124" s="127">
        <v>113</v>
      </c>
      <c r="B124" s="127" t="s">
        <v>156</v>
      </c>
      <c r="C124" s="52" t="s">
        <v>320</v>
      </c>
      <c r="D124" s="210" t="s">
        <v>211</v>
      </c>
      <c r="E124" s="211"/>
      <c r="F124" s="211"/>
      <c r="G124" s="211"/>
      <c r="H124" s="211"/>
    </row>
    <row r="125" spans="1:8" ht="67.5" x14ac:dyDescent="0.25">
      <c r="A125" s="127">
        <v>114</v>
      </c>
      <c r="B125" s="127" t="s">
        <v>156</v>
      </c>
      <c r="C125" s="52" t="s">
        <v>321</v>
      </c>
      <c r="D125" s="210" t="s">
        <v>211</v>
      </c>
      <c r="E125" s="211"/>
      <c r="F125" s="211"/>
      <c r="G125" s="211"/>
      <c r="H125" s="211"/>
    </row>
    <row r="126" spans="1:8" ht="45" x14ac:dyDescent="0.25">
      <c r="A126" s="127">
        <v>115</v>
      </c>
      <c r="B126" s="127" t="s">
        <v>156</v>
      </c>
      <c r="C126" s="52" t="s">
        <v>322</v>
      </c>
      <c r="D126" s="210" t="s">
        <v>211</v>
      </c>
      <c r="E126" s="211"/>
      <c r="F126" s="211"/>
      <c r="G126" s="211"/>
      <c r="H126" s="211"/>
    </row>
    <row r="127" spans="1:8" ht="33.75" x14ac:dyDescent="0.25">
      <c r="A127" s="127">
        <v>116</v>
      </c>
      <c r="B127" s="127" t="s">
        <v>156</v>
      </c>
      <c r="C127" s="52" t="s">
        <v>323</v>
      </c>
      <c r="D127" s="210" t="s">
        <v>223</v>
      </c>
      <c r="E127" s="211"/>
      <c r="F127" s="211"/>
      <c r="G127" s="211"/>
      <c r="H127" s="211"/>
    </row>
    <row r="128" spans="1:8" ht="45" x14ac:dyDescent="0.25">
      <c r="A128" s="125">
        <v>117</v>
      </c>
      <c r="B128" s="125">
        <v>14</v>
      </c>
      <c r="C128" s="67" t="s">
        <v>324</v>
      </c>
      <c r="D128" s="125">
        <v>20</v>
      </c>
      <c r="E128" s="125"/>
      <c r="F128" s="69">
        <f>D128-E128</f>
        <v>20</v>
      </c>
      <c r="G128" s="69"/>
      <c r="H128" s="126">
        <v>27</v>
      </c>
    </row>
    <row r="129" spans="1:8" ht="135" x14ac:dyDescent="0.25">
      <c r="A129" s="121">
        <v>118</v>
      </c>
      <c r="B129" s="121">
        <v>8</v>
      </c>
      <c r="C129" s="122" t="s">
        <v>325</v>
      </c>
      <c r="D129" s="121">
        <v>50</v>
      </c>
      <c r="E129" s="121"/>
      <c r="F129" s="123">
        <f>D129-E129</f>
        <v>50</v>
      </c>
      <c r="G129" s="123">
        <f>1</f>
        <v>1</v>
      </c>
      <c r="H129" s="124">
        <v>525.98</v>
      </c>
    </row>
    <row r="130" spans="1:8" ht="67.5" x14ac:dyDescent="0.25">
      <c r="A130" s="127">
        <v>119</v>
      </c>
      <c r="B130" s="127" t="s">
        <v>156</v>
      </c>
      <c r="C130" s="52" t="s">
        <v>326</v>
      </c>
      <c r="D130" s="210" t="s">
        <v>211</v>
      </c>
      <c r="E130" s="211"/>
      <c r="F130" s="211"/>
      <c r="G130" s="211"/>
      <c r="H130" s="211"/>
    </row>
    <row r="131" spans="1:8" ht="45" x14ac:dyDescent="0.25">
      <c r="A131" s="127">
        <v>120</v>
      </c>
      <c r="B131" s="127" t="s">
        <v>156</v>
      </c>
      <c r="C131" s="52" t="s">
        <v>327</v>
      </c>
      <c r="D131" s="210" t="s">
        <v>211</v>
      </c>
      <c r="E131" s="211"/>
      <c r="F131" s="211"/>
      <c r="G131" s="211"/>
      <c r="H131" s="211"/>
    </row>
    <row r="132" spans="1:8" x14ac:dyDescent="0.25">
      <c r="A132" s="121">
        <v>121</v>
      </c>
      <c r="B132" s="121">
        <v>16</v>
      </c>
      <c r="C132" s="122" t="s">
        <v>328</v>
      </c>
      <c r="D132" s="121">
        <v>100</v>
      </c>
      <c r="E132" s="121"/>
      <c r="F132" s="123">
        <f t="shared" ref="F132:F133" si="9">D132-E132</f>
        <v>100</v>
      </c>
      <c r="G132" s="123">
        <f>2+18</f>
        <v>20</v>
      </c>
      <c r="H132" s="124">
        <v>42.73</v>
      </c>
    </row>
    <row r="133" spans="1:8" ht="33.75" x14ac:dyDescent="0.25">
      <c r="A133" s="121">
        <v>122</v>
      </c>
      <c r="B133" s="121">
        <v>16</v>
      </c>
      <c r="C133" s="122" t="s">
        <v>329</v>
      </c>
      <c r="D133" s="121">
        <v>100</v>
      </c>
      <c r="E133" s="121"/>
      <c r="F133" s="123">
        <f t="shared" si="9"/>
        <v>100</v>
      </c>
      <c r="G133" s="123">
        <f>2+1</f>
        <v>3</v>
      </c>
      <c r="H133" s="124">
        <v>21.65</v>
      </c>
    </row>
    <row r="134" spans="1:8" ht="33.75" x14ac:dyDescent="0.25">
      <c r="A134" s="127">
        <v>123</v>
      </c>
      <c r="B134" s="127" t="s">
        <v>156</v>
      </c>
      <c r="C134" s="52" t="s">
        <v>330</v>
      </c>
      <c r="D134" s="210" t="s">
        <v>211</v>
      </c>
      <c r="E134" s="211"/>
      <c r="F134" s="211"/>
      <c r="G134" s="211"/>
      <c r="H134" s="211"/>
    </row>
    <row r="135" spans="1:8" ht="45" x14ac:dyDescent="0.25">
      <c r="A135" s="127">
        <v>124</v>
      </c>
      <c r="B135" s="127" t="s">
        <v>156</v>
      </c>
      <c r="C135" s="52" t="s">
        <v>331</v>
      </c>
      <c r="D135" s="210" t="s">
        <v>211</v>
      </c>
      <c r="E135" s="211"/>
      <c r="F135" s="211"/>
      <c r="G135" s="211"/>
      <c r="H135" s="211"/>
    </row>
    <row r="136" spans="1:8" ht="45" x14ac:dyDescent="0.25">
      <c r="A136" s="121">
        <v>125</v>
      </c>
      <c r="B136" s="121">
        <v>16</v>
      </c>
      <c r="C136" s="122" t="s">
        <v>332</v>
      </c>
      <c r="D136" s="121">
        <v>20</v>
      </c>
      <c r="E136" s="121"/>
      <c r="F136" s="123">
        <f>D136-E136</f>
        <v>20</v>
      </c>
      <c r="G136" s="123">
        <f>2+6</f>
        <v>8</v>
      </c>
      <c r="H136" s="124">
        <v>88.53</v>
      </c>
    </row>
    <row r="137" spans="1:8" ht="78.75" x14ac:dyDescent="0.25">
      <c r="A137" s="127">
        <v>126</v>
      </c>
      <c r="B137" s="127" t="s">
        <v>156</v>
      </c>
      <c r="C137" s="52" t="s">
        <v>333</v>
      </c>
      <c r="D137" s="210" t="s">
        <v>211</v>
      </c>
      <c r="E137" s="211"/>
      <c r="F137" s="211"/>
      <c r="G137" s="211"/>
      <c r="H137" s="211"/>
    </row>
    <row r="138" spans="1:8" ht="22.5" x14ac:dyDescent="0.25">
      <c r="A138" s="121">
        <v>127</v>
      </c>
      <c r="B138" s="121">
        <v>3</v>
      </c>
      <c r="C138" s="122" t="s">
        <v>334</v>
      </c>
      <c r="D138" s="121">
        <v>200</v>
      </c>
      <c r="E138" s="121"/>
      <c r="F138" s="123">
        <f t="shared" ref="F138:F140" si="10">D138-E138</f>
        <v>200</v>
      </c>
      <c r="G138" s="123">
        <f>6+6</f>
        <v>12</v>
      </c>
      <c r="H138" s="124">
        <v>170</v>
      </c>
    </row>
    <row r="139" spans="1:8" ht="33.75" x14ac:dyDescent="0.25">
      <c r="A139" s="121">
        <v>128</v>
      </c>
      <c r="B139" s="121">
        <v>3</v>
      </c>
      <c r="C139" s="122" t="s">
        <v>335</v>
      </c>
      <c r="D139" s="121">
        <v>250</v>
      </c>
      <c r="E139" s="121"/>
      <c r="F139" s="123">
        <f t="shared" si="10"/>
        <v>250</v>
      </c>
      <c r="G139" s="123">
        <f>2+3+24</f>
        <v>29</v>
      </c>
      <c r="H139" s="124">
        <v>34.19</v>
      </c>
    </row>
    <row r="140" spans="1:8" ht="45" x14ac:dyDescent="0.25">
      <c r="A140" s="128">
        <v>129</v>
      </c>
      <c r="B140" s="128">
        <v>3</v>
      </c>
      <c r="C140" s="129" t="s">
        <v>336</v>
      </c>
      <c r="D140" s="128">
        <v>20</v>
      </c>
      <c r="E140" s="128"/>
      <c r="F140" s="130">
        <f t="shared" si="10"/>
        <v>20</v>
      </c>
      <c r="G140" s="130">
        <f>22</f>
        <v>22</v>
      </c>
      <c r="H140" s="131">
        <v>32.549999999999997</v>
      </c>
    </row>
    <row r="141" spans="1:8" ht="56.25" x14ac:dyDescent="0.25">
      <c r="A141" s="125">
        <v>130</v>
      </c>
      <c r="B141" s="125">
        <v>14</v>
      </c>
      <c r="C141" s="67" t="s">
        <v>337</v>
      </c>
      <c r="D141" s="125">
        <v>100</v>
      </c>
      <c r="E141" s="125"/>
      <c r="F141" s="69">
        <f>D141-E141</f>
        <v>100</v>
      </c>
      <c r="G141" s="69"/>
      <c r="H141" s="126">
        <v>16</v>
      </c>
    </row>
    <row r="142" spans="1:8" ht="45" x14ac:dyDescent="0.25">
      <c r="A142" s="127">
        <v>131</v>
      </c>
      <c r="B142" s="127" t="s">
        <v>156</v>
      </c>
      <c r="C142" s="52" t="s">
        <v>338</v>
      </c>
      <c r="D142" s="210" t="s">
        <v>211</v>
      </c>
      <c r="E142" s="211"/>
      <c r="F142" s="211"/>
      <c r="G142" s="211"/>
      <c r="H142" s="211"/>
    </row>
    <row r="143" spans="1:8" ht="33.75" x14ac:dyDescent="0.25">
      <c r="A143" s="125">
        <v>132</v>
      </c>
      <c r="B143" s="125">
        <v>14</v>
      </c>
      <c r="C143" s="67" t="s">
        <v>339</v>
      </c>
      <c r="D143" s="125">
        <v>240</v>
      </c>
      <c r="E143" s="125"/>
      <c r="F143" s="69">
        <f>D143-E143</f>
        <v>240</v>
      </c>
      <c r="G143" s="69"/>
      <c r="H143" s="126">
        <v>0.8</v>
      </c>
    </row>
    <row r="144" spans="1:8" ht="78.75" x14ac:dyDescent="0.25">
      <c r="A144" s="127">
        <v>133</v>
      </c>
      <c r="B144" s="127" t="s">
        <v>156</v>
      </c>
      <c r="C144" s="52" t="s">
        <v>340</v>
      </c>
      <c r="D144" s="210" t="s">
        <v>211</v>
      </c>
      <c r="E144" s="211"/>
      <c r="F144" s="211"/>
      <c r="G144" s="211"/>
      <c r="H144" s="211"/>
    </row>
    <row r="145" spans="1:8" ht="78.75" x14ac:dyDescent="0.25">
      <c r="A145" s="125">
        <v>134</v>
      </c>
      <c r="B145" s="125">
        <v>14</v>
      </c>
      <c r="C145" s="67" t="s">
        <v>341</v>
      </c>
      <c r="D145" s="125">
        <v>1450</v>
      </c>
      <c r="E145" s="125"/>
      <c r="F145" s="69">
        <f>D145-E145</f>
        <v>1450</v>
      </c>
      <c r="G145" s="69"/>
      <c r="H145" s="126">
        <v>0.74</v>
      </c>
    </row>
    <row r="146" spans="1:8" ht="78.75" x14ac:dyDescent="0.25">
      <c r="A146" s="127">
        <v>135</v>
      </c>
      <c r="B146" s="127" t="s">
        <v>156</v>
      </c>
      <c r="C146" s="52" t="s">
        <v>342</v>
      </c>
      <c r="D146" s="210" t="s">
        <v>211</v>
      </c>
      <c r="E146" s="211"/>
      <c r="F146" s="211"/>
      <c r="G146" s="211"/>
      <c r="H146" s="211"/>
    </row>
    <row r="147" spans="1:8" ht="56.25" x14ac:dyDescent="0.25">
      <c r="A147" s="125">
        <v>136</v>
      </c>
      <c r="B147" s="125">
        <v>14</v>
      </c>
      <c r="C147" s="67" t="s">
        <v>343</v>
      </c>
      <c r="D147" s="125">
        <v>420</v>
      </c>
      <c r="E147" s="125"/>
      <c r="F147" s="69">
        <f>D147-E147</f>
        <v>420</v>
      </c>
      <c r="G147" s="69"/>
      <c r="H147" s="126">
        <v>1.51</v>
      </c>
    </row>
    <row r="148" spans="1:8" ht="56.25" x14ac:dyDescent="0.25">
      <c r="A148" s="127">
        <v>137</v>
      </c>
      <c r="B148" s="127" t="s">
        <v>156</v>
      </c>
      <c r="C148" s="52" t="s">
        <v>344</v>
      </c>
      <c r="D148" s="210" t="s">
        <v>211</v>
      </c>
      <c r="E148" s="211"/>
      <c r="F148" s="211"/>
      <c r="G148" s="211"/>
      <c r="H148" s="211"/>
    </row>
    <row r="149" spans="1:8" ht="45" x14ac:dyDescent="0.25">
      <c r="A149" s="127">
        <v>138</v>
      </c>
      <c r="B149" s="127" t="s">
        <v>156</v>
      </c>
      <c r="C149" s="52" t="s">
        <v>345</v>
      </c>
      <c r="D149" s="210" t="s">
        <v>211</v>
      </c>
      <c r="E149" s="211"/>
      <c r="F149" s="211"/>
      <c r="G149" s="211"/>
      <c r="H149" s="211"/>
    </row>
    <row r="150" spans="1:8" ht="56.25" x14ac:dyDescent="0.25">
      <c r="A150" s="127">
        <v>139</v>
      </c>
      <c r="B150" s="127" t="s">
        <v>156</v>
      </c>
      <c r="C150" s="52" t="s">
        <v>346</v>
      </c>
      <c r="D150" s="210" t="s">
        <v>211</v>
      </c>
      <c r="E150" s="211"/>
      <c r="F150" s="211"/>
      <c r="G150" s="211"/>
      <c r="H150" s="211"/>
    </row>
    <row r="151" spans="1:8" ht="22.5" x14ac:dyDescent="0.25">
      <c r="A151" s="127">
        <v>140</v>
      </c>
      <c r="B151" s="127" t="s">
        <v>156</v>
      </c>
      <c r="C151" s="52" t="s">
        <v>347</v>
      </c>
      <c r="D151" s="210" t="s">
        <v>211</v>
      </c>
      <c r="E151" s="211"/>
      <c r="F151" s="211"/>
      <c r="G151" s="211"/>
      <c r="H151" s="211"/>
    </row>
    <row r="152" spans="1:8" ht="45" x14ac:dyDescent="0.25">
      <c r="A152" s="121">
        <v>141</v>
      </c>
      <c r="B152" s="121">
        <v>4</v>
      </c>
      <c r="C152" s="122" t="s">
        <v>348</v>
      </c>
      <c r="D152" s="121">
        <v>10000</v>
      </c>
      <c r="E152" s="121"/>
      <c r="F152" s="123">
        <f>D152-E152</f>
        <v>10000</v>
      </c>
      <c r="G152" s="123"/>
      <c r="H152" s="124">
        <v>7.0000000000000007E-2</v>
      </c>
    </row>
    <row r="153" spans="1:8" ht="33.75" x14ac:dyDescent="0.25">
      <c r="A153" s="127">
        <v>142</v>
      </c>
      <c r="B153" s="127" t="s">
        <v>156</v>
      </c>
      <c r="C153" s="52" t="s">
        <v>349</v>
      </c>
      <c r="D153" s="210" t="s">
        <v>211</v>
      </c>
      <c r="E153" s="211"/>
      <c r="F153" s="211"/>
      <c r="G153" s="211"/>
      <c r="H153" s="211"/>
    </row>
    <row r="154" spans="1:8" ht="157.5" x14ac:dyDescent="0.25">
      <c r="A154" s="127">
        <v>143</v>
      </c>
      <c r="B154" s="127" t="s">
        <v>156</v>
      </c>
      <c r="C154" s="52" t="s">
        <v>350</v>
      </c>
      <c r="D154" s="210" t="s">
        <v>223</v>
      </c>
      <c r="E154" s="211"/>
      <c r="F154" s="211"/>
      <c r="G154" s="211"/>
      <c r="H154" s="211"/>
    </row>
    <row r="155" spans="1:8" ht="56.25" x14ac:dyDescent="0.25">
      <c r="A155" s="127">
        <v>144</v>
      </c>
      <c r="B155" s="127" t="s">
        <v>156</v>
      </c>
      <c r="C155" s="52" t="s">
        <v>351</v>
      </c>
      <c r="D155" s="210" t="s">
        <v>223</v>
      </c>
      <c r="E155" s="211"/>
      <c r="F155" s="211"/>
      <c r="G155" s="211"/>
      <c r="H155" s="211"/>
    </row>
    <row r="156" spans="1:8" ht="33.75" x14ac:dyDescent="0.25">
      <c r="A156" s="127">
        <v>145</v>
      </c>
      <c r="B156" s="127" t="s">
        <v>156</v>
      </c>
      <c r="C156" s="52" t="s">
        <v>352</v>
      </c>
      <c r="D156" s="210" t="s">
        <v>211</v>
      </c>
      <c r="E156" s="211"/>
      <c r="F156" s="211"/>
      <c r="G156" s="211"/>
      <c r="H156" s="211"/>
    </row>
    <row r="157" spans="1:8" ht="56.25" x14ac:dyDescent="0.25">
      <c r="A157" s="121">
        <v>146</v>
      </c>
      <c r="B157" s="121">
        <v>4</v>
      </c>
      <c r="C157" s="122" t="s">
        <v>353</v>
      </c>
      <c r="D157" s="121">
        <v>50</v>
      </c>
      <c r="E157" s="121"/>
      <c r="F157" s="123">
        <f>D157-E157</f>
        <v>50</v>
      </c>
      <c r="G157" s="123">
        <f>1+2+4</f>
        <v>7</v>
      </c>
      <c r="H157" s="124">
        <v>69.14</v>
      </c>
    </row>
    <row r="158" spans="1:8" ht="45" x14ac:dyDescent="0.25">
      <c r="A158" s="127">
        <v>147</v>
      </c>
      <c r="B158" s="127" t="s">
        <v>156</v>
      </c>
      <c r="C158" s="52" t="s">
        <v>354</v>
      </c>
      <c r="D158" s="210" t="s">
        <v>223</v>
      </c>
      <c r="E158" s="211"/>
      <c r="F158" s="211"/>
      <c r="G158" s="211"/>
      <c r="H158" s="211"/>
    </row>
    <row r="159" spans="1:8" ht="78.75" x14ac:dyDescent="0.25">
      <c r="A159" s="121">
        <v>148</v>
      </c>
      <c r="B159" s="121">
        <v>16</v>
      </c>
      <c r="C159" s="122" t="s">
        <v>355</v>
      </c>
      <c r="D159" s="121">
        <v>100</v>
      </c>
      <c r="E159" s="121"/>
      <c r="F159" s="123">
        <f t="shared" ref="F159:F162" si="11">D159-E159</f>
        <v>100</v>
      </c>
      <c r="G159" s="123">
        <f>5</f>
        <v>5</v>
      </c>
      <c r="H159" s="124">
        <v>17.48</v>
      </c>
    </row>
    <row r="160" spans="1:8" x14ac:dyDescent="0.25">
      <c r="A160" s="121">
        <v>149</v>
      </c>
      <c r="B160" s="121">
        <v>16</v>
      </c>
      <c r="C160" s="122" t="s">
        <v>356</v>
      </c>
      <c r="D160" s="121">
        <v>170</v>
      </c>
      <c r="E160" s="121"/>
      <c r="F160" s="123">
        <f t="shared" si="11"/>
        <v>170</v>
      </c>
      <c r="G160" s="123">
        <f>6</f>
        <v>6</v>
      </c>
      <c r="H160" s="124">
        <v>17.48</v>
      </c>
    </row>
    <row r="161" spans="1:8" ht="22.5" x14ac:dyDescent="0.25">
      <c r="A161" s="121">
        <v>150</v>
      </c>
      <c r="B161" s="121">
        <v>16</v>
      </c>
      <c r="C161" s="122" t="s">
        <v>357</v>
      </c>
      <c r="D161" s="121">
        <v>80</v>
      </c>
      <c r="E161" s="121"/>
      <c r="F161" s="123">
        <f t="shared" si="11"/>
        <v>80</v>
      </c>
      <c r="G161" s="123">
        <f>10+20</f>
        <v>30</v>
      </c>
      <c r="H161" s="124">
        <v>6.5</v>
      </c>
    </row>
    <row r="162" spans="1:8" ht="22.5" x14ac:dyDescent="0.25">
      <c r="A162" s="121">
        <v>151</v>
      </c>
      <c r="B162" s="121">
        <v>16</v>
      </c>
      <c r="C162" s="122" t="s">
        <v>358</v>
      </c>
      <c r="D162" s="121">
        <v>110</v>
      </c>
      <c r="E162" s="121"/>
      <c r="F162" s="123">
        <f t="shared" si="11"/>
        <v>110</v>
      </c>
      <c r="G162" s="123">
        <f>10+50</f>
        <v>60</v>
      </c>
      <c r="H162" s="124">
        <v>3.99</v>
      </c>
    </row>
    <row r="163" spans="1:8" ht="22.5" x14ac:dyDescent="0.25">
      <c r="A163" s="127">
        <v>152</v>
      </c>
      <c r="B163" s="127" t="s">
        <v>156</v>
      </c>
      <c r="C163" s="52" t="s">
        <v>359</v>
      </c>
      <c r="D163" s="210" t="s">
        <v>211</v>
      </c>
      <c r="E163" s="211"/>
      <c r="F163" s="211"/>
      <c r="G163" s="211"/>
      <c r="H163" s="211"/>
    </row>
    <row r="164" spans="1:8" ht="22.5" x14ac:dyDescent="0.25">
      <c r="A164" s="128">
        <v>153</v>
      </c>
      <c r="B164" s="128">
        <v>16</v>
      </c>
      <c r="C164" s="129" t="s">
        <v>360</v>
      </c>
      <c r="D164" s="128">
        <v>50</v>
      </c>
      <c r="E164" s="128"/>
      <c r="F164" s="130">
        <f>D164-E164</f>
        <v>50</v>
      </c>
      <c r="G164" s="130">
        <f>10+300</f>
        <v>310</v>
      </c>
      <c r="H164" s="131">
        <v>3.24</v>
      </c>
    </row>
    <row r="165" spans="1:8" ht="67.5" x14ac:dyDescent="0.25">
      <c r="A165" s="127">
        <v>154</v>
      </c>
      <c r="B165" s="127" t="s">
        <v>156</v>
      </c>
      <c r="C165" s="52" t="s">
        <v>361</v>
      </c>
      <c r="D165" s="210" t="s">
        <v>211</v>
      </c>
      <c r="E165" s="211"/>
      <c r="F165" s="211"/>
      <c r="G165" s="211"/>
      <c r="H165" s="211"/>
    </row>
    <row r="166" spans="1:8" ht="90" x14ac:dyDescent="0.25">
      <c r="A166" s="121">
        <v>155</v>
      </c>
      <c r="B166" s="121">
        <v>4</v>
      </c>
      <c r="C166" s="122" t="s">
        <v>362</v>
      </c>
      <c r="D166" s="121">
        <v>300</v>
      </c>
      <c r="E166" s="121"/>
      <c r="F166" s="123">
        <f t="shared" ref="F166:F169" si="12">D166-E166</f>
        <v>300</v>
      </c>
      <c r="G166" s="123"/>
      <c r="H166" s="124">
        <v>4.93</v>
      </c>
    </row>
    <row r="167" spans="1:8" ht="90" x14ac:dyDescent="0.25">
      <c r="A167" s="125">
        <v>156</v>
      </c>
      <c r="B167" s="125">
        <v>14</v>
      </c>
      <c r="C167" s="67" t="s">
        <v>363</v>
      </c>
      <c r="D167" s="125">
        <v>110</v>
      </c>
      <c r="E167" s="125"/>
      <c r="F167" s="69">
        <f t="shared" si="12"/>
        <v>110</v>
      </c>
      <c r="G167" s="69"/>
      <c r="H167" s="126">
        <v>8.74</v>
      </c>
    </row>
    <row r="168" spans="1:8" ht="45" x14ac:dyDescent="0.25">
      <c r="A168" s="121">
        <v>157</v>
      </c>
      <c r="B168" s="121">
        <v>11</v>
      </c>
      <c r="C168" s="122" t="s">
        <v>364</v>
      </c>
      <c r="D168" s="121">
        <v>75</v>
      </c>
      <c r="E168" s="121"/>
      <c r="F168" s="123">
        <f t="shared" si="12"/>
        <v>75</v>
      </c>
      <c r="G168" s="123">
        <f>2+7+5</f>
        <v>14</v>
      </c>
      <c r="H168" s="124">
        <v>190</v>
      </c>
    </row>
    <row r="169" spans="1:8" ht="22.5" x14ac:dyDescent="0.25">
      <c r="A169" s="121">
        <v>158</v>
      </c>
      <c r="B169" s="121">
        <v>7</v>
      </c>
      <c r="C169" s="122" t="s">
        <v>365</v>
      </c>
      <c r="D169" s="121">
        <v>25</v>
      </c>
      <c r="E169" s="121"/>
      <c r="F169" s="123">
        <f t="shared" si="12"/>
        <v>25</v>
      </c>
      <c r="G169" s="123"/>
      <c r="H169" s="124">
        <v>65</v>
      </c>
    </row>
    <row r="170" spans="1:8" ht="67.5" x14ac:dyDescent="0.25">
      <c r="A170" s="127">
        <v>159</v>
      </c>
      <c r="B170" s="127" t="s">
        <v>156</v>
      </c>
      <c r="C170" s="52" t="s">
        <v>366</v>
      </c>
      <c r="D170" s="210" t="s">
        <v>211</v>
      </c>
      <c r="E170" s="211"/>
      <c r="F170" s="211"/>
      <c r="G170" s="211"/>
      <c r="H170" s="211"/>
    </row>
    <row r="171" spans="1:8" ht="101.25" x14ac:dyDescent="0.25">
      <c r="A171" s="125">
        <v>160</v>
      </c>
      <c r="B171" s="125">
        <v>14</v>
      </c>
      <c r="C171" s="67" t="s">
        <v>367</v>
      </c>
      <c r="D171" s="125">
        <v>140</v>
      </c>
      <c r="E171" s="125"/>
      <c r="F171" s="69">
        <f>D171-E171</f>
        <v>140</v>
      </c>
      <c r="G171" s="69"/>
      <c r="H171" s="126">
        <v>21.97</v>
      </c>
    </row>
    <row r="172" spans="1:8" ht="33.75" x14ac:dyDescent="0.25">
      <c r="A172" s="121">
        <v>161</v>
      </c>
      <c r="B172" s="121">
        <v>5</v>
      </c>
      <c r="C172" s="122" t="s">
        <v>368</v>
      </c>
      <c r="D172" s="121">
        <v>5090</v>
      </c>
      <c r="E172" s="121"/>
      <c r="F172" s="123">
        <f t="shared" ref="F172:F173" si="13">D172-E172</f>
        <v>5090</v>
      </c>
      <c r="G172" s="123">
        <f>10</f>
        <v>10</v>
      </c>
      <c r="H172" s="124">
        <v>15</v>
      </c>
    </row>
    <row r="173" spans="1:8" ht="33.75" x14ac:dyDescent="0.25">
      <c r="A173" s="121">
        <v>162</v>
      </c>
      <c r="B173" s="121">
        <v>5</v>
      </c>
      <c r="C173" s="122" t="s">
        <v>369</v>
      </c>
      <c r="D173" s="121">
        <v>5200</v>
      </c>
      <c r="E173" s="121"/>
      <c r="F173" s="123">
        <f t="shared" si="13"/>
        <v>5200</v>
      </c>
      <c r="G173" s="123">
        <f>10</f>
        <v>10</v>
      </c>
      <c r="H173" s="124">
        <v>12</v>
      </c>
    </row>
    <row r="174" spans="1:8" ht="33.75" x14ac:dyDescent="0.25">
      <c r="A174" s="127">
        <v>163</v>
      </c>
      <c r="B174" s="127" t="s">
        <v>156</v>
      </c>
      <c r="C174" s="52" t="s">
        <v>370</v>
      </c>
      <c r="D174" s="210" t="s">
        <v>211</v>
      </c>
      <c r="E174" s="211"/>
      <c r="F174" s="211"/>
      <c r="G174" s="211"/>
      <c r="H174" s="211"/>
    </row>
    <row r="175" spans="1:8" ht="33.75" x14ac:dyDescent="0.25">
      <c r="A175" s="121">
        <v>164</v>
      </c>
      <c r="B175" s="121">
        <v>12</v>
      </c>
      <c r="C175" s="122" t="s">
        <v>371</v>
      </c>
      <c r="D175" s="121">
        <v>775</v>
      </c>
      <c r="E175" s="121"/>
      <c r="F175" s="123">
        <f>D175-E175</f>
        <v>775</v>
      </c>
      <c r="G175" s="123">
        <f>30+24</f>
        <v>54</v>
      </c>
      <c r="H175" s="124">
        <v>0.28000000000000003</v>
      </c>
    </row>
    <row r="176" spans="1:8" ht="45" x14ac:dyDescent="0.25">
      <c r="A176" s="127">
        <v>165</v>
      </c>
      <c r="B176" s="127" t="s">
        <v>156</v>
      </c>
      <c r="C176" s="52" t="s">
        <v>372</v>
      </c>
      <c r="D176" s="210" t="s">
        <v>223</v>
      </c>
      <c r="E176" s="211"/>
      <c r="F176" s="211"/>
      <c r="G176" s="211"/>
      <c r="H176" s="211"/>
    </row>
    <row r="177" spans="1:8" ht="135" x14ac:dyDescent="0.25">
      <c r="A177" s="127">
        <v>166</v>
      </c>
      <c r="B177" s="127" t="s">
        <v>156</v>
      </c>
      <c r="C177" s="52" t="s">
        <v>373</v>
      </c>
      <c r="D177" s="210" t="s">
        <v>211</v>
      </c>
      <c r="E177" s="211"/>
      <c r="F177" s="211"/>
      <c r="G177" s="211"/>
      <c r="H177" s="211"/>
    </row>
    <row r="178" spans="1:8" ht="123.75" x14ac:dyDescent="0.25">
      <c r="A178" s="127">
        <v>167</v>
      </c>
      <c r="B178" s="127" t="s">
        <v>156</v>
      </c>
      <c r="C178" s="52" t="s">
        <v>374</v>
      </c>
      <c r="D178" s="210" t="s">
        <v>211</v>
      </c>
      <c r="E178" s="211"/>
      <c r="F178" s="211"/>
      <c r="G178" s="211"/>
      <c r="H178" s="211"/>
    </row>
    <row r="179" spans="1:8" ht="101.25" x14ac:dyDescent="0.25">
      <c r="A179" s="125">
        <v>168</v>
      </c>
      <c r="B179" s="125">
        <v>14</v>
      </c>
      <c r="C179" s="67" t="s">
        <v>375</v>
      </c>
      <c r="D179" s="125">
        <v>235</v>
      </c>
      <c r="E179" s="125"/>
      <c r="F179" s="69">
        <f>D179-E179</f>
        <v>235</v>
      </c>
      <c r="G179" s="69"/>
      <c r="H179" s="126">
        <v>41</v>
      </c>
    </row>
    <row r="180" spans="1:8" ht="90" x14ac:dyDescent="0.25">
      <c r="A180" s="121">
        <v>169</v>
      </c>
      <c r="B180" s="121">
        <v>6</v>
      </c>
      <c r="C180" s="122" t="s">
        <v>376</v>
      </c>
      <c r="D180" s="121">
        <v>510</v>
      </c>
      <c r="E180" s="121"/>
      <c r="F180" s="123">
        <f>D180-E180</f>
        <v>510</v>
      </c>
      <c r="G180" s="123">
        <f>1+1+22</f>
        <v>24</v>
      </c>
      <c r="H180" s="124">
        <v>25</v>
      </c>
    </row>
    <row r="181" spans="1:8" ht="56.25" x14ac:dyDescent="0.25">
      <c r="A181" s="121">
        <v>170</v>
      </c>
      <c r="B181" s="121">
        <v>4</v>
      </c>
      <c r="C181" s="122" t="s">
        <v>377</v>
      </c>
      <c r="D181" s="121">
        <v>6000</v>
      </c>
      <c r="E181" s="121"/>
      <c r="F181" s="123">
        <f>D181-E181</f>
        <v>6000</v>
      </c>
      <c r="G181" s="123"/>
      <c r="H181" s="124">
        <v>0.5</v>
      </c>
    </row>
    <row r="182" spans="1:8" ht="33.75" x14ac:dyDescent="0.25">
      <c r="A182" s="127">
        <v>171</v>
      </c>
      <c r="B182" s="127" t="s">
        <v>156</v>
      </c>
      <c r="C182" s="52" t="s">
        <v>378</v>
      </c>
      <c r="D182" s="210" t="s">
        <v>223</v>
      </c>
      <c r="E182" s="211"/>
      <c r="F182" s="211"/>
      <c r="G182" s="211"/>
      <c r="H182" s="211"/>
    </row>
    <row r="183" spans="1:8" ht="33.75" x14ac:dyDescent="0.25">
      <c r="A183" s="125">
        <v>172</v>
      </c>
      <c r="B183" s="125">
        <v>14</v>
      </c>
      <c r="C183" s="67" t="s">
        <v>379</v>
      </c>
      <c r="D183" s="125">
        <v>360</v>
      </c>
      <c r="E183" s="125"/>
      <c r="F183" s="69">
        <f>D183-E183</f>
        <v>360</v>
      </c>
      <c r="G183" s="69"/>
      <c r="H183" s="126">
        <v>2.5</v>
      </c>
    </row>
  </sheetData>
  <sheetProtection algorithmName="SHA-512" hashValue="2PGa2j2EfmmezHDnoSih+UXa/M+FsBGLmgtppC2Ufa5+k58zM/jSRYmkKFyZxE7/IW7YKkH7nOSCuELSUz5CTw==" saltValue="dW6MnXCkgf3SeByo81E+xw==" spinCount="100000" sheet="1" objects="1" scenarios="1"/>
  <mergeCells count="83">
    <mergeCell ref="D174:H174"/>
    <mergeCell ref="D176:H176"/>
    <mergeCell ref="D177:H177"/>
    <mergeCell ref="D178:H178"/>
    <mergeCell ref="D182:H182"/>
    <mergeCell ref="D170:H170"/>
    <mergeCell ref="D148:H148"/>
    <mergeCell ref="D149:H149"/>
    <mergeCell ref="D150:H150"/>
    <mergeCell ref="D151:H151"/>
    <mergeCell ref="D153:H153"/>
    <mergeCell ref="D154:H154"/>
    <mergeCell ref="D155:H155"/>
    <mergeCell ref="D156:H156"/>
    <mergeCell ref="D158:H158"/>
    <mergeCell ref="D163:H163"/>
    <mergeCell ref="D165:H165"/>
    <mergeCell ref="D146:H146"/>
    <mergeCell ref="D124:H124"/>
    <mergeCell ref="D125:H125"/>
    <mergeCell ref="D126:H126"/>
    <mergeCell ref="D127:H127"/>
    <mergeCell ref="D130:H130"/>
    <mergeCell ref="D131:H131"/>
    <mergeCell ref="D134:H134"/>
    <mergeCell ref="D135:H135"/>
    <mergeCell ref="D137:H137"/>
    <mergeCell ref="D142:H142"/>
    <mergeCell ref="D144:H144"/>
    <mergeCell ref="D123:H123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22:H122"/>
    <mergeCell ref="D111:H111"/>
    <mergeCell ref="D91:H91"/>
    <mergeCell ref="D92:H92"/>
    <mergeCell ref="D93:H93"/>
    <mergeCell ref="D99:H99"/>
    <mergeCell ref="D102:H102"/>
    <mergeCell ref="D104:H104"/>
    <mergeCell ref="D106:H106"/>
    <mergeCell ref="D107:H107"/>
    <mergeCell ref="D108:H108"/>
    <mergeCell ref="D109:H109"/>
    <mergeCell ref="D110:H110"/>
    <mergeCell ref="D90:H90"/>
    <mergeCell ref="D68:H68"/>
    <mergeCell ref="D69:H69"/>
    <mergeCell ref="D73:H73"/>
    <mergeCell ref="D74:H74"/>
    <mergeCell ref="D75:H75"/>
    <mergeCell ref="D77:H77"/>
    <mergeCell ref="D79:H79"/>
    <mergeCell ref="D83:H83"/>
    <mergeCell ref="D86:H86"/>
    <mergeCell ref="D87:H87"/>
    <mergeCell ref="D89:H89"/>
    <mergeCell ref="D64:H64"/>
    <mergeCell ref="D6:F6"/>
    <mergeCell ref="B8:H8"/>
    <mergeCell ref="B9:H9"/>
    <mergeCell ref="D14:H14"/>
    <mergeCell ref="D19:H19"/>
    <mergeCell ref="D20:H20"/>
    <mergeCell ref="D26:H26"/>
    <mergeCell ref="D29:H29"/>
    <mergeCell ref="D31:H31"/>
    <mergeCell ref="D52:H52"/>
    <mergeCell ref="D56:H56"/>
    <mergeCell ref="A1:H1"/>
    <mergeCell ref="B2:D2"/>
    <mergeCell ref="B3:C3"/>
    <mergeCell ref="F3:F4"/>
    <mergeCell ref="G3:G4"/>
    <mergeCell ref="B4:C4"/>
  </mergeCells>
  <conditionalFormatting sqref="G12:G13 G15:G18 G21:G25 G27:G28 G30 G32:G51 G53:G55 G57:G63 G65:G67 G70:G72 G76 G78 G80:G82 G84:G85 G88 G94:G98 G100:G101 G103 G105 G128:G129 G132:G133 G136 G138:G141 G143 G145 G147">
    <cfRule type="cellIs" dxfId="1321" priority="2" stopIfTrue="1" operator="greaterThan">
      <formula>$F$12</formula>
    </cfRule>
  </conditionalFormatting>
  <conditionalFormatting sqref="G152 G157 G159:G162 G164 G166:G169 G171:G173 G175 G179:G181 G183">
    <cfRule type="cellIs" dxfId="1320" priority="1" stopIfTrue="1" operator="greaterThan">
      <formula>$F$12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388</v>
      </c>
      <c r="B1" s="78"/>
      <c r="G1" s="217"/>
    </row>
    <row r="2" spans="1:12" ht="16.5" thickTop="1" thickBot="1" x14ac:dyDescent="0.3">
      <c r="A2" s="133" t="s">
        <v>3</v>
      </c>
      <c r="B2" s="111">
        <v>270400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494</v>
      </c>
      <c r="B5" s="105" t="s">
        <v>205</v>
      </c>
      <c r="C5" s="105" t="s">
        <v>401</v>
      </c>
      <c r="D5" s="106">
        <v>41734</v>
      </c>
      <c r="E5" s="106">
        <v>42859</v>
      </c>
      <c r="F5" s="105" t="s">
        <v>601</v>
      </c>
      <c r="G5" s="80">
        <v>70</v>
      </c>
      <c r="H5" s="81">
        <v>57</v>
      </c>
      <c r="I5" s="82">
        <v>288.99</v>
      </c>
      <c r="J5"/>
      <c r="L5"/>
    </row>
    <row r="6" spans="1:12" s="83" customFormat="1" ht="75" x14ac:dyDescent="0.25">
      <c r="A6" s="104" t="s">
        <v>440</v>
      </c>
      <c r="B6" s="105" t="s">
        <v>205</v>
      </c>
      <c r="C6" s="105" t="s">
        <v>394</v>
      </c>
      <c r="D6" s="106">
        <v>42830</v>
      </c>
      <c r="E6" s="106">
        <v>42894</v>
      </c>
      <c r="F6" s="105" t="s">
        <v>645</v>
      </c>
      <c r="G6" s="84">
        <v>8</v>
      </c>
      <c r="H6" s="85">
        <v>1</v>
      </c>
      <c r="I6" s="86">
        <v>178</v>
      </c>
      <c r="K6"/>
    </row>
    <row r="7" spans="1:12" s="83" customFormat="1" x14ac:dyDescent="0.25">
      <c r="A7" s="104" t="s">
        <v>438</v>
      </c>
      <c r="B7" s="105" t="s">
        <v>205</v>
      </c>
      <c r="C7" s="105" t="s">
        <v>401</v>
      </c>
      <c r="D7" s="106">
        <v>42830</v>
      </c>
      <c r="E7" s="106">
        <v>42859</v>
      </c>
      <c r="F7" s="105" t="s">
        <v>601</v>
      </c>
      <c r="G7" s="84">
        <v>74</v>
      </c>
      <c r="H7" s="85">
        <v>21</v>
      </c>
      <c r="I7" s="86">
        <v>144.47999999999999</v>
      </c>
    </row>
    <row r="8" spans="1:12" s="87" customFormat="1" x14ac:dyDescent="0.25">
      <c r="A8" s="104" t="s">
        <v>438</v>
      </c>
      <c r="B8" s="105" t="s">
        <v>205</v>
      </c>
      <c r="C8" s="105" t="s">
        <v>416</v>
      </c>
      <c r="D8" s="106">
        <v>42759</v>
      </c>
      <c r="E8" s="106">
        <v>42838</v>
      </c>
      <c r="F8" s="105" t="s">
        <v>601</v>
      </c>
      <c r="G8" s="84">
        <v>34</v>
      </c>
      <c r="H8" s="85">
        <v>34</v>
      </c>
      <c r="I8" s="86">
        <v>233.92</v>
      </c>
    </row>
    <row r="9" spans="1:12" s="87" customFormat="1" ht="75" x14ac:dyDescent="0.25">
      <c r="A9" s="104" t="s">
        <v>516</v>
      </c>
      <c r="B9" s="105" t="s">
        <v>205</v>
      </c>
      <c r="C9" s="105" t="s">
        <v>416</v>
      </c>
      <c r="D9" s="106">
        <v>42759</v>
      </c>
      <c r="E9" s="106">
        <v>42838</v>
      </c>
      <c r="F9" s="105" t="s">
        <v>615</v>
      </c>
      <c r="G9" s="84">
        <v>71</v>
      </c>
      <c r="H9" s="85">
        <v>43</v>
      </c>
      <c r="I9" s="86">
        <v>997.6</v>
      </c>
    </row>
    <row r="10" spans="1:12" s="90" customFormat="1" ht="45" x14ac:dyDescent="0.25">
      <c r="A10" s="104" t="s">
        <v>533</v>
      </c>
      <c r="B10" s="105" t="s">
        <v>205</v>
      </c>
      <c r="C10" s="105" t="s">
        <v>416</v>
      </c>
      <c r="D10" s="106">
        <v>42759</v>
      </c>
      <c r="E10" s="106">
        <v>42838</v>
      </c>
      <c r="F10" s="105" t="s">
        <v>601</v>
      </c>
      <c r="G10" s="84">
        <v>4</v>
      </c>
      <c r="H10" s="85">
        <v>4</v>
      </c>
      <c r="I10" s="86">
        <v>1773.56</v>
      </c>
    </row>
    <row r="11" spans="1:12" ht="45" x14ac:dyDescent="0.25">
      <c r="A11" s="104" t="s">
        <v>475</v>
      </c>
      <c r="B11" s="105" t="s">
        <v>205</v>
      </c>
      <c r="C11" s="105" t="s">
        <v>416</v>
      </c>
      <c r="D11" s="106">
        <v>42759</v>
      </c>
      <c r="E11" s="106">
        <v>42838</v>
      </c>
      <c r="F11" s="105" t="s">
        <v>601</v>
      </c>
      <c r="G11" s="84">
        <v>15</v>
      </c>
      <c r="H11" s="85">
        <v>15</v>
      </c>
      <c r="I11" s="86">
        <v>94.5</v>
      </c>
    </row>
    <row r="12" spans="1:12" ht="75" x14ac:dyDescent="0.25">
      <c r="A12" s="104" t="s">
        <v>534</v>
      </c>
      <c r="B12" s="105" t="s">
        <v>205</v>
      </c>
      <c r="C12" s="105" t="s">
        <v>416</v>
      </c>
      <c r="D12" s="106">
        <v>42759</v>
      </c>
      <c r="E12" s="106">
        <v>42838</v>
      </c>
      <c r="F12" s="105" t="s">
        <v>615</v>
      </c>
      <c r="G12" s="84">
        <v>49</v>
      </c>
      <c r="H12" s="85">
        <v>39</v>
      </c>
      <c r="I12" s="86">
        <v>585</v>
      </c>
    </row>
    <row r="13" spans="1:12" ht="30" x14ac:dyDescent="0.25">
      <c r="A13" s="104" t="s">
        <v>511</v>
      </c>
      <c r="B13" s="105" t="s">
        <v>205</v>
      </c>
      <c r="C13" s="105" t="s">
        <v>402</v>
      </c>
      <c r="D13" s="106">
        <v>42830</v>
      </c>
      <c r="E13" s="106">
        <v>42859</v>
      </c>
      <c r="F13" s="105" t="s">
        <v>601</v>
      </c>
      <c r="G13" s="84">
        <v>14</v>
      </c>
      <c r="H13" s="85">
        <v>14</v>
      </c>
      <c r="I13" s="86">
        <v>223.58</v>
      </c>
    </row>
    <row r="14" spans="1:12" ht="30" x14ac:dyDescent="0.25">
      <c r="A14" s="104" t="s">
        <v>511</v>
      </c>
      <c r="B14" s="105" t="s">
        <v>205</v>
      </c>
      <c r="C14" s="105" t="s">
        <v>416</v>
      </c>
      <c r="D14" s="106">
        <v>42759</v>
      </c>
      <c r="E14" s="106">
        <v>42838</v>
      </c>
      <c r="F14" s="105" t="s">
        <v>601</v>
      </c>
      <c r="G14" s="84">
        <v>9</v>
      </c>
      <c r="H14" s="85">
        <v>9</v>
      </c>
      <c r="I14" s="86">
        <v>143.73000000000002</v>
      </c>
    </row>
    <row r="15" spans="1:12" ht="45" x14ac:dyDescent="0.25">
      <c r="A15" s="104" t="s">
        <v>474</v>
      </c>
      <c r="B15" s="105" t="s">
        <v>205</v>
      </c>
      <c r="C15" s="105" t="s">
        <v>402</v>
      </c>
      <c r="D15" s="106">
        <v>42830</v>
      </c>
      <c r="E15" s="106">
        <v>42859</v>
      </c>
      <c r="F15" s="105" t="s">
        <v>601</v>
      </c>
      <c r="G15" s="84">
        <v>120</v>
      </c>
      <c r="H15" s="85">
        <v>120</v>
      </c>
      <c r="I15" s="86">
        <v>486</v>
      </c>
    </row>
    <row r="16" spans="1:12" ht="45" x14ac:dyDescent="0.25">
      <c r="A16" s="104" t="s">
        <v>474</v>
      </c>
      <c r="B16" s="105" t="s">
        <v>205</v>
      </c>
      <c r="C16" s="105" t="s">
        <v>416</v>
      </c>
      <c r="D16" s="106">
        <v>42759</v>
      </c>
      <c r="E16" s="106">
        <v>42838</v>
      </c>
      <c r="F16" s="105" t="s">
        <v>601</v>
      </c>
      <c r="G16" s="84">
        <v>210</v>
      </c>
      <c r="H16" s="85">
        <v>210</v>
      </c>
      <c r="I16" s="86">
        <v>850.5</v>
      </c>
    </row>
    <row r="17" spans="1:9" ht="75" x14ac:dyDescent="0.25">
      <c r="A17" s="104" t="s">
        <v>441</v>
      </c>
      <c r="B17" s="105" t="s">
        <v>205</v>
      </c>
      <c r="C17" s="105" t="s">
        <v>395</v>
      </c>
      <c r="D17" s="106">
        <v>42830</v>
      </c>
      <c r="E17" s="106">
        <v>42872</v>
      </c>
      <c r="F17" s="105" t="s">
        <v>645</v>
      </c>
      <c r="G17" s="84">
        <v>124</v>
      </c>
      <c r="H17" s="85">
        <v>109</v>
      </c>
      <c r="I17" s="86">
        <v>215.82</v>
      </c>
    </row>
    <row r="18" spans="1:9" ht="30" x14ac:dyDescent="0.25">
      <c r="A18" s="104" t="s">
        <v>441</v>
      </c>
      <c r="B18" s="105" t="s">
        <v>205</v>
      </c>
      <c r="C18" s="105" t="s">
        <v>413</v>
      </c>
      <c r="D18" s="106">
        <v>42759</v>
      </c>
      <c r="E18" s="106">
        <v>42872</v>
      </c>
      <c r="F18" s="105" t="s">
        <v>601</v>
      </c>
      <c r="G18" s="84">
        <v>60</v>
      </c>
      <c r="H18" s="85">
        <v>60</v>
      </c>
      <c r="I18" s="86">
        <v>118.8</v>
      </c>
    </row>
    <row r="19" spans="1:9" x14ac:dyDescent="0.25">
      <c r="A19" s="104" t="s">
        <v>497</v>
      </c>
      <c r="B19" s="105" t="s">
        <v>205</v>
      </c>
      <c r="C19" s="105" t="s">
        <v>402</v>
      </c>
      <c r="D19" s="106">
        <v>42830</v>
      </c>
      <c r="E19" s="106">
        <v>42859</v>
      </c>
      <c r="F19" s="105" t="s">
        <v>601</v>
      </c>
      <c r="G19" s="84">
        <v>100</v>
      </c>
      <c r="H19" s="85">
        <v>6</v>
      </c>
      <c r="I19" s="86">
        <v>149.28</v>
      </c>
    </row>
    <row r="20" spans="1:9" x14ac:dyDescent="0.25">
      <c r="A20" s="104" t="s">
        <v>498</v>
      </c>
      <c r="B20" s="105" t="s">
        <v>205</v>
      </c>
      <c r="C20" s="105" t="s">
        <v>402</v>
      </c>
      <c r="D20" s="106">
        <v>42830</v>
      </c>
      <c r="E20" s="106">
        <v>42859</v>
      </c>
      <c r="F20" s="105" t="s">
        <v>601</v>
      </c>
      <c r="G20" s="84">
        <v>5</v>
      </c>
      <c r="H20" s="85">
        <v>4</v>
      </c>
      <c r="I20" s="86">
        <v>43.84</v>
      </c>
    </row>
    <row r="21" spans="1:9" x14ac:dyDescent="0.25">
      <c r="A21" s="104" t="s">
        <v>498</v>
      </c>
      <c r="B21" s="105" t="s">
        <v>205</v>
      </c>
      <c r="C21" s="105" t="s">
        <v>416</v>
      </c>
      <c r="D21" s="106">
        <v>42759</v>
      </c>
      <c r="E21" s="106">
        <v>42838</v>
      </c>
      <c r="F21" s="105" t="s">
        <v>601</v>
      </c>
      <c r="G21" s="84">
        <v>10</v>
      </c>
      <c r="H21" s="85">
        <v>10</v>
      </c>
      <c r="I21" s="86">
        <v>109.60000000000001</v>
      </c>
    </row>
    <row r="22" spans="1:9" ht="30" x14ac:dyDescent="0.25">
      <c r="A22" s="104" t="s">
        <v>480</v>
      </c>
      <c r="B22" s="105" t="s">
        <v>205</v>
      </c>
      <c r="C22" s="105" t="s">
        <v>402</v>
      </c>
      <c r="D22" s="106">
        <v>42830</v>
      </c>
      <c r="E22" s="106">
        <v>42859</v>
      </c>
      <c r="F22" s="105" t="s">
        <v>601</v>
      </c>
      <c r="G22" s="84">
        <v>12</v>
      </c>
      <c r="H22" s="85">
        <v>12</v>
      </c>
      <c r="I22" s="86">
        <v>108</v>
      </c>
    </row>
    <row r="23" spans="1:9" ht="30" x14ac:dyDescent="0.25">
      <c r="A23" s="104" t="s">
        <v>480</v>
      </c>
      <c r="B23" s="105" t="s">
        <v>205</v>
      </c>
      <c r="C23" s="105" t="s">
        <v>416</v>
      </c>
      <c r="D23" s="106">
        <v>42759</v>
      </c>
      <c r="E23" s="106">
        <v>42838</v>
      </c>
      <c r="F23" s="105" t="s">
        <v>601</v>
      </c>
      <c r="G23" s="84">
        <v>20</v>
      </c>
      <c r="H23" s="85">
        <v>20</v>
      </c>
      <c r="I23" s="86">
        <v>180</v>
      </c>
    </row>
    <row r="24" spans="1:9" ht="30" x14ac:dyDescent="0.25">
      <c r="A24" s="104" t="s">
        <v>483</v>
      </c>
      <c r="B24" s="105" t="s">
        <v>205</v>
      </c>
      <c r="C24" s="105" t="s">
        <v>416</v>
      </c>
      <c r="D24" s="106">
        <v>42759</v>
      </c>
      <c r="E24" s="106">
        <v>42838</v>
      </c>
      <c r="F24" s="105" t="s">
        <v>601</v>
      </c>
      <c r="G24" s="84">
        <v>20</v>
      </c>
      <c r="H24" s="85">
        <v>20</v>
      </c>
      <c r="I24" s="86">
        <v>129.80000000000001</v>
      </c>
    </row>
    <row r="25" spans="1:9" ht="30" x14ac:dyDescent="0.25">
      <c r="A25" s="104" t="s">
        <v>502</v>
      </c>
      <c r="B25" s="105" t="s">
        <v>205</v>
      </c>
      <c r="C25" s="105" t="s">
        <v>402</v>
      </c>
      <c r="D25" s="106">
        <v>42830</v>
      </c>
      <c r="E25" s="106">
        <v>42859</v>
      </c>
      <c r="F25" s="105" t="s">
        <v>601</v>
      </c>
      <c r="G25" s="84">
        <v>8</v>
      </c>
      <c r="H25" s="85">
        <v>8</v>
      </c>
      <c r="I25" s="86">
        <v>48</v>
      </c>
    </row>
    <row r="26" spans="1:9" ht="30" x14ac:dyDescent="0.25">
      <c r="A26" s="104" t="s">
        <v>503</v>
      </c>
      <c r="B26" s="105" t="s">
        <v>205</v>
      </c>
      <c r="C26" s="105" t="s">
        <v>402</v>
      </c>
      <c r="D26" s="106">
        <v>42830</v>
      </c>
      <c r="E26" s="106">
        <v>42859</v>
      </c>
      <c r="F26" s="105" t="s">
        <v>601</v>
      </c>
      <c r="G26" s="84">
        <v>100</v>
      </c>
      <c r="H26" s="85">
        <v>10</v>
      </c>
      <c r="I26" s="86">
        <v>41.5</v>
      </c>
    </row>
    <row r="27" spans="1:9" ht="30" x14ac:dyDescent="0.25">
      <c r="A27" s="104" t="s">
        <v>503</v>
      </c>
      <c r="B27" s="105" t="s">
        <v>205</v>
      </c>
      <c r="C27" s="105" t="s">
        <v>416</v>
      </c>
      <c r="D27" s="106">
        <v>42759</v>
      </c>
      <c r="E27" s="106">
        <v>42838</v>
      </c>
      <c r="F27" s="105" t="s">
        <v>601</v>
      </c>
      <c r="G27" s="84">
        <v>30</v>
      </c>
      <c r="H27" s="85">
        <v>30</v>
      </c>
      <c r="I27" s="86">
        <v>124.50000000000001</v>
      </c>
    </row>
    <row r="28" spans="1:9" ht="75" x14ac:dyDescent="0.25">
      <c r="A28" s="104" t="s">
        <v>518</v>
      </c>
      <c r="B28" s="105" t="s">
        <v>205</v>
      </c>
      <c r="C28" s="105" t="s">
        <v>416</v>
      </c>
      <c r="D28" s="106">
        <v>42759</v>
      </c>
      <c r="E28" s="106">
        <v>42838</v>
      </c>
      <c r="F28" s="105" t="s">
        <v>615</v>
      </c>
      <c r="G28" s="84">
        <v>44</v>
      </c>
      <c r="H28" s="85">
        <v>40</v>
      </c>
      <c r="I28" s="86">
        <v>718</v>
      </c>
    </row>
    <row r="29" spans="1:9" x14ac:dyDescent="0.25">
      <c r="A29" s="104" t="s">
        <v>506</v>
      </c>
      <c r="B29" s="105" t="s">
        <v>205</v>
      </c>
      <c r="C29" s="105" t="s">
        <v>402</v>
      </c>
      <c r="D29" s="106">
        <v>42830</v>
      </c>
      <c r="E29" s="106">
        <v>42859</v>
      </c>
      <c r="F29" s="105" t="s">
        <v>601</v>
      </c>
      <c r="G29" s="84">
        <v>54</v>
      </c>
      <c r="H29" s="85">
        <v>23</v>
      </c>
      <c r="I29" s="86">
        <v>111.32</v>
      </c>
    </row>
    <row r="30" spans="1:9" x14ac:dyDescent="0.25">
      <c r="A30" s="104" t="s">
        <v>506</v>
      </c>
      <c r="B30" s="105" t="s">
        <v>205</v>
      </c>
      <c r="C30" s="105" t="s">
        <v>416</v>
      </c>
      <c r="D30" s="106">
        <v>42759</v>
      </c>
      <c r="E30" s="106">
        <v>42838</v>
      </c>
      <c r="F30" s="105" t="s">
        <v>601</v>
      </c>
      <c r="G30" s="84">
        <v>60</v>
      </c>
      <c r="H30" s="85">
        <v>60</v>
      </c>
      <c r="I30" s="86">
        <v>290.39999999999998</v>
      </c>
    </row>
    <row r="31" spans="1:9" x14ac:dyDescent="0.25">
      <c r="A31" s="104" t="s">
        <v>451</v>
      </c>
      <c r="B31" s="105" t="s">
        <v>205</v>
      </c>
      <c r="C31" s="105" t="s">
        <v>402</v>
      </c>
      <c r="D31" s="106">
        <v>42830</v>
      </c>
      <c r="E31" s="106">
        <v>42859</v>
      </c>
      <c r="F31" s="105" t="s">
        <v>601</v>
      </c>
      <c r="G31" s="84">
        <v>30</v>
      </c>
      <c r="H31" s="85">
        <v>30</v>
      </c>
      <c r="I31" s="86">
        <v>69.599999999999994</v>
      </c>
    </row>
    <row r="32" spans="1:9" x14ac:dyDescent="0.25">
      <c r="A32" s="104" t="s">
        <v>451</v>
      </c>
      <c r="B32" s="105" t="s">
        <v>205</v>
      </c>
      <c r="C32" s="105" t="s">
        <v>416</v>
      </c>
      <c r="D32" s="106">
        <v>42759</v>
      </c>
      <c r="E32" s="106">
        <v>42838</v>
      </c>
      <c r="F32" s="105" t="s">
        <v>601</v>
      </c>
      <c r="G32" s="84">
        <v>50</v>
      </c>
      <c r="H32" s="85">
        <v>50</v>
      </c>
      <c r="I32" s="86">
        <v>115.99999999999999</v>
      </c>
    </row>
    <row r="33" spans="1:9" ht="30" x14ac:dyDescent="0.25">
      <c r="A33" s="104" t="s">
        <v>452</v>
      </c>
      <c r="B33" s="105" t="s">
        <v>205</v>
      </c>
      <c r="C33" s="105" t="s">
        <v>393</v>
      </c>
      <c r="D33" s="106">
        <v>42830</v>
      </c>
      <c r="E33" s="106">
        <v>42920</v>
      </c>
      <c r="F33" s="105" t="s">
        <v>601</v>
      </c>
      <c r="G33" s="84">
        <v>2</v>
      </c>
      <c r="H33" s="85">
        <v>2</v>
      </c>
      <c r="I33" s="86">
        <v>409.98</v>
      </c>
    </row>
    <row r="34" spans="1:9" ht="30" x14ac:dyDescent="0.25">
      <c r="A34" s="104" t="s">
        <v>452</v>
      </c>
      <c r="B34" s="105" t="s">
        <v>205</v>
      </c>
      <c r="C34" s="105" t="s">
        <v>412</v>
      </c>
      <c r="D34" s="106">
        <v>42759</v>
      </c>
      <c r="E34" s="106">
        <v>42913</v>
      </c>
      <c r="F34" s="105" t="s">
        <v>601</v>
      </c>
      <c r="G34" s="84">
        <v>1</v>
      </c>
      <c r="H34" s="85">
        <v>1</v>
      </c>
      <c r="I34" s="86">
        <v>204.99</v>
      </c>
    </row>
    <row r="35" spans="1:9" ht="45" x14ac:dyDescent="0.25">
      <c r="A35" s="104" t="s">
        <v>470</v>
      </c>
      <c r="B35" s="105" t="s">
        <v>205</v>
      </c>
      <c r="C35" s="105" t="s">
        <v>395</v>
      </c>
      <c r="D35" s="106">
        <v>42830</v>
      </c>
      <c r="E35" s="106">
        <v>42872</v>
      </c>
      <c r="F35" s="105" t="s">
        <v>601</v>
      </c>
      <c r="G35" s="84">
        <v>6</v>
      </c>
      <c r="H35" s="85">
        <v>6</v>
      </c>
      <c r="I35" s="86">
        <v>18.72</v>
      </c>
    </row>
    <row r="36" spans="1:9" ht="45" x14ac:dyDescent="0.25">
      <c r="A36" s="104" t="s">
        <v>470</v>
      </c>
      <c r="B36" s="105" t="s">
        <v>205</v>
      </c>
      <c r="C36" s="105" t="s">
        <v>413</v>
      </c>
      <c r="D36" s="106">
        <v>42759</v>
      </c>
      <c r="E36" s="106">
        <v>42872</v>
      </c>
      <c r="F36" s="105" t="s">
        <v>601</v>
      </c>
      <c r="G36" s="84">
        <v>8</v>
      </c>
      <c r="H36" s="85">
        <v>8</v>
      </c>
      <c r="I36" s="86">
        <v>24.96</v>
      </c>
    </row>
    <row r="37" spans="1:9" ht="45" x14ac:dyDescent="0.25">
      <c r="A37" s="104" t="s">
        <v>471</v>
      </c>
      <c r="B37" s="105" t="s">
        <v>205</v>
      </c>
      <c r="C37" s="105" t="s">
        <v>402</v>
      </c>
      <c r="D37" s="106">
        <v>42830</v>
      </c>
      <c r="E37" s="106">
        <v>42859</v>
      </c>
      <c r="F37" s="105" t="s">
        <v>601</v>
      </c>
      <c r="G37" s="84">
        <v>20</v>
      </c>
      <c r="H37" s="85">
        <v>20</v>
      </c>
      <c r="I37" s="86">
        <v>55.599999999999994</v>
      </c>
    </row>
    <row r="38" spans="1:9" ht="45" x14ac:dyDescent="0.25">
      <c r="A38" s="104" t="s">
        <v>471</v>
      </c>
      <c r="B38" s="105" t="s">
        <v>205</v>
      </c>
      <c r="C38" s="105" t="s">
        <v>416</v>
      </c>
      <c r="D38" s="106">
        <v>42759</v>
      </c>
      <c r="E38" s="106">
        <v>42838</v>
      </c>
      <c r="F38" s="105" t="s">
        <v>601</v>
      </c>
      <c r="G38" s="84">
        <v>22</v>
      </c>
      <c r="H38" s="85">
        <v>22</v>
      </c>
      <c r="I38" s="86">
        <v>61.16</v>
      </c>
    </row>
    <row r="39" spans="1:9" x14ac:dyDescent="0.25">
      <c r="A39" s="104" t="s">
        <v>489</v>
      </c>
      <c r="B39" s="105" t="s">
        <v>205</v>
      </c>
      <c r="C39" s="105" t="s">
        <v>392</v>
      </c>
      <c r="D39" s="106">
        <v>42830</v>
      </c>
      <c r="E39" s="106">
        <v>42874</v>
      </c>
      <c r="F39" s="105" t="s">
        <v>601</v>
      </c>
      <c r="G39" s="84">
        <v>10</v>
      </c>
      <c r="H39" s="85">
        <v>10</v>
      </c>
      <c r="I39" s="86">
        <v>880</v>
      </c>
    </row>
    <row r="40" spans="1:9" x14ac:dyDescent="0.25">
      <c r="A40" s="104" t="s">
        <v>489</v>
      </c>
      <c r="B40" s="105" t="s">
        <v>205</v>
      </c>
      <c r="C40" s="105" t="s">
        <v>411</v>
      </c>
      <c r="D40" s="106">
        <v>42759</v>
      </c>
      <c r="E40" s="106">
        <v>42858</v>
      </c>
      <c r="F40" s="105" t="s">
        <v>601</v>
      </c>
      <c r="G40" s="84">
        <v>2</v>
      </c>
      <c r="H40" s="85">
        <v>2</v>
      </c>
      <c r="I40" s="86">
        <v>176</v>
      </c>
    </row>
    <row r="41" spans="1:9" ht="75" x14ac:dyDescent="0.25">
      <c r="A41" s="104" t="s">
        <v>527</v>
      </c>
      <c r="B41" s="105" t="s">
        <v>205</v>
      </c>
      <c r="C41" s="105" t="s">
        <v>416</v>
      </c>
      <c r="D41" s="106">
        <v>42759</v>
      </c>
      <c r="E41" s="106">
        <v>42838</v>
      </c>
      <c r="F41" s="105" t="s">
        <v>615</v>
      </c>
      <c r="G41" s="84">
        <v>125</v>
      </c>
      <c r="H41" s="85">
        <v>103</v>
      </c>
      <c r="I41" s="86">
        <v>488.22</v>
      </c>
    </row>
    <row r="42" spans="1:9" ht="75" x14ac:dyDescent="0.25">
      <c r="A42" s="104" t="s">
        <v>513</v>
      </c>
      <c r="B42" s="105" t="s">
        <v>205</v>
      </c>
      <c r="C42" s="105" t="s">
        <v>416</v>
      </c>
      <c r="D42" s="106">
        <v>42759</v>
      </c>
      <c r="E42" s="106">
        <v>42838</v>
      </c>
      <c r="F42" s="105" t="s">
        <v>615</v>
      </c>
      <c r="G42" s="84">
        <v>82</v>
      </c>
      <c r="H42" s="85">
        <v>46</v>
      </c>
      <c r="I42" s="86">
        <v>249.32</v>
      </c>
    </row>
    <row r="43" spans="1:9" ht="30" x14ac:dyDescent="0.25">
      <c r="A43" s="104" t="s">
        <v>528</v>
      </c>
      <c r="B43" s="105" t="s">
        <v>205</v>
      </c>
      <c r="C43" s="105" t="s">
        <v>416</v>
      </c>
      <c r="D43" s="106">
        <v>42759</v>
      </c>
      <c r="E43" s="106">
        <v>42838</v>
      </c>
      <c r="F43" s="105" t="s">
        <v>601</v>
      </c>
      <c r="G43" s="84">
        <v>122</v>
      </c>
      <c r="H43" s="85">
        <v>119</v>
      </c>
      <c r="I43" s="86">
        <v>1213.8</v>
      </c>
    </row>
    <row r="44" spans="1:9" ht="75" x14ac:dyDescent="0.25">
      <c r="A44" s="104" t="s">
        <v>514</v>
      </c>
      <c r="B44" s="105" t="s">
        <v>205</v>
      </c>
      <c r="C44" s="105" t="s">
        <v>416</v>
      </c>
      <c r="D44" s="106">
        <v>42759</v>
      </c>
      <c r="E44" s="106">
        <v>42838</v>
      </c>
      <c r="F44" s="105" t="s">
        <v>615</v>
      </c>
      <c r="G44" s="84">
        <v>72</v>
      </c>
      <c r="H44" s="85">
        <v>41</v>
      </c>
      <c r="I44" s="86">
        <v>776.94999999999993</v>
      </c>
    </row>
    <row r="45" spans="1:9" ht="75" x14ac:dyDescent="0.25">
      <c r="A45" s="104" t="s">
        <v>515</v>
      </c>
      <c r="B45" s="105" t="s">
        <v>205</v>
      </c>
      <c r="C45" s="105" t="s">
        <v>416</v>
      </c>
      <c r="D45" s="106">
        <v>42759</v>
      </c>
      <c r="E45" s="106">
        <v>42838</v>
      </c>
      <c r="F45" s="105" t="s">
        <v>615</v>
      </c>
      <c r="G45" s="84">
        <v>60</v>
      </c>
      <c r="H45" s="85">
        <v>13</v>
      </c>
      <c r="I45" s="86">
        <v>10.27</v>
      </c>
    </row>
    <row r="46" spans="1:9" ht="30" x14ac:dyDescent="0.25">
      <c r="A46" s="104" t="s">
        <v>481</v>
      </c>
      <c r="B46" s="105" t="s">
        <v>205</v>
      </c>
      <c r="C46" s="105" t="s">
        <v>401</v>
      </c>
      <c r="D46" s="106">
        <v>42830</v>
      </c>
      <c r="E46" s="106">
        <v>42859</v>
      </c>
      <c r="F46" s="105" t="s">
        <v>601</v>
      </c>
      <c r="G46" s="84">
        <v>50</v>
      </c>
      <c r="H46" s="85">
        <v>50</v>
      </c>
      <c r="I46" s="86">
        <v>465.00000000000006</v>
      </c>
    </row>
    <row r="47" spans="1:9" ht="30" x14ac:dyDescent="0.25">
      <c r="A47" s="104" t="s">
        <v>445</v>
      </c>
      <c r="B47" s="105" t="s">
        <v>205</v>
      </c>
      <c r="C47" s="105" t="s">
        <v>401</v>
      </c>
      <c r="D47" s="106">
        <v>42830</v>
      </c>
      <c r="E47" s="106">
        <v>42859</v>
      </c>
      <c r="F47" s="105" t="s">
        <v>601</v>
      </c>
      <c r="G47" s="84">
        <v>96</v>
      </c>
      <c r="H47" s="85">
        <v>95</v>
      </c>
      <c r="I47" s="86">
        <v>684</v>
      </c>
    </row>
    <row r="48" spans="1:9" ht="30" x14ac:dyDescent="0.25">
      <c r="A48" s="104" t="s">
        <v>445</v>
      </c>
      <c r="B48" s="105" t="s">
        <v>205</v>
      </c>
      <c r="C48" s="105" t="s">
        <v>416</v>
      </c>
      <c r="D48" s="106">
        <v>42759</v>
      </c>
      <c r="E48" s="106">
        <v>42838</v>
      </c>
      <c r="F48" s="105" t="s">
        <v>601</v>
      </c>
      <c r="G48" s="84">
        <v>20</v>
      </c>
      <c r="H48" s="85">
        <v>20</v>
      </c>
      <c r="I48" s="86">
        <v>144</v>
      </c>
    </row>
    <row r="49" spans="1:9" ht="45" x14ac:dyDescent="0.25">
      <c r="A49" s="104" t="s">
        <v>504</v>
      </c>
      <c r="B49" s="105" t="s">
        <v>205</v>
      </c>
      <c r="C49" s="105" t="s">
        <v>402</v>
      </c>
      <c r="D49" s="106">
        <v>42830</v>
      </c>
      <c r="E49" s="106">
        <v>42859</v>
      </c>
      <c r="F49" s="105" t="s">
        <v>601</v>
      </c>
      <c r="G49" s="84">
        <v>8</v>
      </c>
      <c r="H49" s="85">
        <v>8</v>
      </c>
      <c r="I49" s="86">
        <v>3112</v>
      </c>
    </row>
    <row r="50" spans="1:9" ht="45" x14ac:dyDescent="0.25">
      <c r="A50" s="104" t="s">
        <v>504</v>
      </c>
      <c r="B50" s="105" t="s">
        <v>205</v>
      </c>
      <c r="C50" s="105" t="s">
        <v>416</v>
      </c>
      <c r="D50" s="106">
        <v>42759</v>
      </c>
      <c r="E50" s="106">
        <v>42838</v>
      </c>
      <c r="F50" s="105" t="s">
        <v>601</v>
      </c>
      <c r="G50" s="84">
        <v>4</v>
      </c>
      <c r="H50" s="85">
        <v>4</v>
      </c>
      <c r="I50" s="86">
        <v>1556</v>
      </c>
    </row>
    <row r="51" spans="1:9" ht="60" x14ac:dyDescent="0.25">
      <c r="A51" s="104" t="s">
        <v>508</v>
      </c>
      <c r="B51" s="105" t="s">
        <v>205</v>
      </c>
      <c r="C51" s="105" t="s">
        <v>402</v>
      </c>
      <c r="D51" s="106">
        <v>42830</v>
      </c>
      <c r="E51" s="106">
        <v>42859</v>
      </c>
      <c r="F51" s="105" t="s">
        <v>601</v>
      </c>
      <c r="G51" s="84">
        <v>40</v>
      </c>
      <c r="H51" s="85">
        <v>40</v>
      </c>
      <c r="I51" s="86">
        <v>4710.8</v>
      </c>
    </row>
    <row r="52" spans="1:9" ht="60" x14ac:dyDescent="0.25">
      <c r="A52" s="104" t="s">
        <v>508</v>
      </c>
      <c r="B52" s="105" t="s">
        <v>205</v>
      </c>
      <c r="C52" s="105" t="s">
        <v>416</v>
      </c>
      <c r="D52" s="106">
        <v>42759</v>
      </c>
      <c r="E52" s="106">
        <v>42838</v>
      </c>
      <c r="F52" s="105" t="s">
        <v>601</v>
      </c>
      <c r="G52" s="84">
        <v>30</v>
      </c>
      <c r="H52" s="85">
        <v>30</v>
      </c>
      <c r="I52" s="86">
        <v>3533.1</v>
      </c>
    </row>
    <row r="53" spans="1:9" x14ac:dyDescent="0.25">
      <c r="A53" s="104" t="s">
        <v>490</v>
      </c>
      <c r="B53" s="105" t="s">
        <v>205</v>
      </c>
      <c r="C53" s="105" t="s">
        <v>401</v>
      </c>
      <c r="D53" s="106">
        <v>42830</v>
      </c>
      <c r="E53" s="106">
        <v>42859</v>
      </c>
      <c r="F53" s="105" t="s">
        <v>601</v>
      </c>
      <c r="G53" s="84">
        <v>10</v>
      </c>
      <c r="H53" s="85">
        <v>9</v>
      </c>
      <c r="I53" s="86">
        <v>139.95000000000002</v>
      </c>
    </row>
    <row r="54" spans="1:9" x14ac:dyDescent="0.25">
      <c r="A54" s="104" t="s">
        <v>490</v>
      </c>
      <c r="B54" s="105" t="s">
        <v>205</v>
      </c>
      <c r="C54" s="105" t="s">
        <v>416</v>
      </c>
      <c r="D54" s="106">
        <v>42759</v>
      </c>
      <c r="E54" s="106">
        <v>42838</v>
      </c>
      <c r="F54" s="105" t="s">
        <v>601</v>
      </c>
      <c r="G54" s="84">
        <v>4</v>
      </c>
      <c r="H54" s="85">
        <v>4</v>
      </c>
      <c r="I54" s="86">
        <v>62.2</v>
      </c>
    </row>
    <row r="55" spans="1:9" ht="45" x14ac:dyDescent="0.25">
      <c r="A55" s="104" t="s">
        <v>491</v>
      </c>
      <c r="B55" s="105" t="s">
        <v>205</v>
      </c>
      <c r="C55" s="105" t="s">
        <v>401</v>
      </c>
      <c r="D55" s="106">
        <v>42830</v>
      </c>
      <c r="E55" s="106">
        <v>42859</v>
      </c>
      <c r="F55" s="105" t="s">
        <v>601</v>
      </c>
      <c r="G55" s="84">
        <v>100</v>
      </c>
      <c r="H55" s="85">
        <v>1</v>
      </c>
      <c r="I55" s="86">
        <v>11.98</v>
      </c>
    </row>
    <row r="56" spans="1:9" ht="30" x14ac:dyDescent="0.25">
      <c r="A56" s="104" t="s">
        <v>493</v>
      </c>
      <c r="B56" s="105" t="s">
        <v>205</v>
      </c>
      <c r="C56" s="105" t="s">
        <v>392</v>
      </c>
      <c r="D56" s="106">
        <v>42830</v>
      </c>
      <c r="E56" s="106">
        <v>42874</v>
      </c>
      <c r="F56" s="105" t="s">
        <v>601</v>
      </c>
      <c r="G56" s="84">
        <v>100</v>
      </c>
      <c r="H56" s="85">
        <v>65</v>
      </c>
      <c r="I56" s="86">
        <v>644.15</v>
      </c>
    </row>
    <row r="57" spans="1:9" x14ac:dyDescent="0.25">
      <c r="A57" s="104" t="s">
        <v>536</v>
      </c>
      <c r="B57" s="105" t="s">
        <v>205</v>
      </c>
      <c r="C57" s="105" t="s">
        <v>414</v>
      </c>
      <c r="D57" s="106">
        <v>42759</v>
      </c>
      <c r="E57" s="106">
        <v>42894</v>
      </c>
      <c r="F57" s="105" t="s">
        <v>601</v>
      </c>
      <c r="G57" s="84">
        <v>15</v>
      </c>
      <c r="H57" s="85">
        <v>15</v>
      </c>
      <c r="I57" s="86">
        <v>446.09999999999997</v>
      </c>
    </row>
    <row r="58" spans="1:9" ht="75" x14ac:dyDescent="0.25">
      <c r="A58" s="104" t="s">
        <v>524</v>
      </c>
      <c r="B58" s="105" t="s">
        <v>205</v>
      </c>
      <c r="C58" s="105" t="s">
        <v>416</v>
      </c>
      <c r="D58" s="106">
        <v>42759</v>
      </c>
      <c r="E58" s="106">
        <v>42838</v>
      </c>
      <c r="F58" s="105" t="s">
        <v>615</v>
      </c>
      <c r="G58" s="84">
        <v>216</v>
      </c>
      <c r="H58" s="85">
        <v>25</v>
      </c>
      <c r="I58" s="86">
        <v>98.25</v>
      </c>
    </row>
    <row r="59" spans="1:9" ht="30" x14ac:dyDescent="0.25">
      <c r="A59" s="104" t="s">
        <v>467</v>
      </c>
      <c r="B59" s="105" t="s">
        <v>205</v>
      </c>
      <c r="C59" s="105" t="s">
        <v>416</v>
      </c>
      <c r="D59" s="106">
        <v>42759</v>
      </c>
      <c r="E59" s="106">
        <v>42838</v>
      </c>
      <c r="F59" s="105" t="s">
        <v>601</v>
      </c>
      <c r="G59" s="84">
        <v>20</v>
      </c>
      <c r="H59" s="85">
        <v>20</v>
      </c>
      <c r="I59" s="86">
        <v>162</v>
      </c>
    </row>
    <row r="60" spans="1:9" ht="45" x14ac:dyDescent="0.25">
      <c r="A60" s="104" t="s">
        <v>485</v>
      </c>
      <c r="B60" s="105" t="s">
        <v>205</v>
      </c>
      <c r="C60" s="105" t="s">
        <v>205</v>
      </c>
      <c r="D60" s="106" t="s">
        <v>205</v>
      </c>
      <c r="E60" s="105" t="s">
        <v>205</v>
      </c>
      <c r="F60" s="105" t="s">
        <v>403</v>
      </c>
      <c r="G60" s="84">
        <v>60</v>
      </c>
      <c r="H60" s="85"/>
      <c r="I60" s="86">
        <v>0</v>
      </c>
    </row>
    <row r="61" spans="1:9" ht="45" x14ac:dyDescent="0.25">
      <c r="A61" s="104" t="s">
        <v>505</v>
      </c>
      <c r="B61" s="105" t="s">
        <v>205</v>
      </c>
      <c r="C61" s="105" t="s">
        <v>402</v>
      </c>
      <c r="D61" s="106">
        <v>42830</v>
      </c>
      <c r="E61" s="106">
        <v>42859</v>
      </c>
      <c r="F61" s="105" t="s">
        <v>601</v>
      </c>
      <c r="G61" s="84">
        <v>10</v>
      </c>
      <c r="H61" s="85">
        <v>10</v>
      </c>
      <c r="I61" s="86">
        <v>3890</v>
      </c>
    </row>
    <row r="62" spans="1:9" ht="45" x14ac:dyDescent="0.25">
      <c r="A62" s="104" t="s">
        <v>505</v>
      </c>
      <c r="B62" s="105" t="s">
        <v>205</v>
      </c>
      <c r="C62" s="105" t="s">
        <v>416</v>
      </c>
      <c r="D62" s="106">
        <v>42759</v>
      </c>
      <c r="E62" s="106">
        <v>42838</v>
      </c>
      <c r="F62" s="105" t="s">
        <v>601</v>
      </c>
      <c r="G62" s="84">
        <v>9</v>
      </c>
      <c r="H62" s="85">
        <v>9</v>
      </c>
      <c r="I62" s="86">
        <v>3501</v>
      </c>
    </row>
    <row r="63" spans="1:9" ht="45" x14ac:dyDescent="0.25">
      <c r="A63" s="104" t="s">
        <v>454</v>
      </c>
      <c r="B63" s="105" t="s">
        <v>205</v>
      </c>
      <c r="C63" s="105" t="s">
        <v>402</v>
      </c>
      <c r="D63" s="106">
        <v>41734</v>
      </c>
      <c r="E63" s="106">
        <v>42859</v>
      </c>
      <c r="F63" s="105" t="s">
        <v>601</v>
      </c>
      <c r="G63" s="84">
        <v>22</v>
      </c>
      <c r="H63" s="85">
        <v>22</v>
      </c>
      <c r="I63" s="86">
        <v>131.78</v>
      </c>
    </row>
    <row r="64" spans="1:9" ht="45" x14ac:dyDescent="0.25">
      <c r="A64" s="104" t="s">
        <v>454</v>
      </c>
      <c r="B64" s="105" t="s">
        <v>205</v>
      </c>
      <c r="C64" s="105" t="s">
        <v>416</v>
      </c>
      <c r="D64" s="106">
        <v>42759</v>
      </c>
      <c r="E64" s="106">
        <v>42838</v>
      </c>
      <c r="F64" s="105" t="s">
        <v>601</v>
      </c>
      <c r="G64" s="84">
        <v>18</v>
      </c>
      <c r="H64" s="85">
        <v>18</v>
      </c>
      <c r="I64" s="86">
        <v>107.82000000000001</v>
      </c>
    </row>
    <row r="65" spans="1:9" ht="45" x14ac:dyDescent="0.25">
      <c r="A65" s="104" t="s">
        <v>507</v>
      </c>
      <c r="B65" s="105" t="s">
        <v>205</v>
      </c>
      <c r="C65" s="105" t="s">
        <v>402</v>
      </c>
      <c r="D65" s="106">
        <v>42830</v>
      </c>
      <c r="E65" s="106">
        <v>42859</v>
      </c>
      <c r="F65" s="105" t="s">
        <v>601</v>
      </c>
      <c r="G65" s="84">
        <v>30</v>
      </c>
      <c r="H65" s="85">
        <v>30</v>
      </c>
      <c r="I65" s="86">
        <v>248.7</v>
      </c>
    </row>
    <row r="66" spans="1:9" ht="45" x14ac:dyDescent="0.25">
      <c r="A66" s="104" t="s">
        <v>507</v>
      </c>
      <c r="B66" s="105" t="s">
        <v>205</v>
      </c>
      <c r="C66" s="105" t="s">
        <v>416</v>
      </c>
      <c r="D66" s="106">
        <v>42759</v>
      </c>
      <c r="E66" s="106">
        <v>42838</v>
      </c>
      <c r="F66" s="105" t="s">
        <v>601</v>
      </c>
      <c r="G66" s="84">
        <v>24</v>
      </c>
      <c r="H66" s="85">
        <v>24</v>
      </c>
      <c r="I66" s="86">
        <v>198.95999999999998</v>
      </c>
    </row>
    <row r="67" spans="1:9" ht="45" x14ac:dyDescent="0.25">
      <c r="A67" s="104" t="s">
        <v>457</v>
      </c>
      <c r="B67" s="105" t="s">
        <v>205</v>
      </c>
      <c r="C67" s="105" t="s">
        <v>416</v>
      </c>
      <c r="D67" s="106">
        <v>42759</v>
      </c>
      <c r="E67" s="106">
        <v>42838</v>
      </c>
      <c r="F67" s="105" t="s">
        <v>601</v>
      </c>
      <c r="G67" s="84">
        <v>8</v>
      </c>
      <c r="H67" s="85">
        <v>8</v>
      </c>
      <c r="I67" s="86">
        <v>87.84</v>
      </c>
    </row>
    <row r="68" spans="1:9" ht="30" x14ac:dyDescent="0.25">
      <c r="A68" s="104" t="s">
        <v>492</v>
      </c>
      <c r="B68" s="105" t="s">
        <v>205</v>
      </c>
      <c r="C68" s="105" t="s">
        <v>401</v>
      </c>
      <c r="D68" s="106">
        <v>42830</v>
      </c>
      <c r="E68" s="106">
        <v>42859</v>
      </c>
      <c r="F68" s="105" t="s">
        <v>601</v>
      </c>
      <c r="G68" s="84">
        <v>200</v>
      </c>
      <c r="H68" s="85">
        <v>151</v>
      </c>
      <c r="I68" s="86">
        <v>1057</v>
      </c>
    </row>
    <row r="69" spans="1:9" ht="30" x14ac:dyDescent="0.25">
      <c r="A69" s="104" t="s">
        <v>492</v>
      </c>
      <c r="B69" s="105" t="s">
        <v>205</v>
      </c>
      <c r="C69" s="105" t="s">
        <v>416</v>
      </c>
      <c r="D69" s="106">
        <v>42759</v>
      </c>
      <c r="E69" s="106">
        <v>42838</v>
      </c>
      <c r="F69" s="105" t="s">
        <v>601</v>
      </c>
      <c r="G69" s="84">
        <v>100</v>
      </c>
      <c r="H69" s="85">
        <v>100</v>
      </c>
      <c r="I69" s="86">
        <v>700</v>
      </c>
    </row>
    <row r="70" spans="1:9" x14ac:dyDescent="0.25">
      <c r="A70" s="104" t="s">
        <v>522</v>
      </c>
      <c r="B70" s="105" t="s">
        <v>205</v>
      </c>
      <c r="C70" s="105" t="s">
        <v>416</v>
      </c>
      <c r="D70" s="106">
        <v>42759</v>
      </c>
      <c r="E70" s="106">
        <v>42838</v>
      </c>
      <c r="F70" s="105" t="s">
        <v>601</v>
      </c>
      <c r="G70" s="84">
        <v>45</v>
      </c>
      <c r="H70" s="85">
        <v>45</v>
      </c>
      <c r="I70" s="86">
        <v>1014.75</v>
      </c>
    </row>
    <row r="71" spans="1:9" ht="75" x14ac:dyDescent="0.25">
      <c r="A71" s="104" t="s">
        <v>523</v>
      </c>
      <c r="B71" s="105" t="s">
        <v>205</v>
      </c>
      <c r="C71" s="105" t="s">
        <v>415</v>
      </c>
      <c r="D71" s="106">
        <v>42760</v>
      </c>
      <c r="E71" s="106">
        <v>42838</v>
      </c>
      <c r="F71" s="105" t="s">
        <v>645</v>
      </c>
      <c r="G71" s="84">
        <v>62</v>
      </c>
      <c r="H71" s="85">
        <v>55</v>
      </c>
      <c r="I71" s="86">
        <v>1625.25</v>
      </c>
    </row>
    <row r="72" spans="1:9" x14ac:dyDescent="0.25">
      <c r="A72" s="104" t="s">
        <v>439</v>
      </c>
      <c r="B72" s="105" t="s">
        <v>205</v>
      </c>
      <c r="C72" s="105" t="s">
        <v>401</v>
      </c>
      <c r="D72" s="106">
        <v>41734</v>
      </c>
      <c r="E72" s="106">
        <v>42859</v>
      </c>
      <c r="F72" s="105" t="s">
        <v>601</v>
      </c>
      <c r="G72" s="84">
        <v>20</v>
      </c>
      <c r="H72" s="85">
        <v>20</v>
      </c>
      <c r="I72" s="86">
        <v>297.60000000000002</v>
      </c>
    </row>
    <row r="73" spans="1:9" x14ac:dyDescent="0.25">
      <c r="A73" s="104" t="s">
        <v>439</v>
      </c>
      <c r="B73" s="105" t="s">
        <v>205</v>
      </c>
      <c r="C73" s="105" t="s">
        <v>416</v>
      </c>
      <c r="D73" s="106">
        <v>42759</v>
      </c>
      <c r="E73" s="106">
        <v>42838</v>
      </c>
      <c r="F73" s="105" t="s">
        <v>601</v>
      </c>
      <c r="G73" s="84">
        <v>32</v>
      </c>
      <c r="H73" s="85">
        <v>32</v>
      </c>
      <c r="I73" s="86">
        <v>476.16</v>
      </c>
    </row>
    <row r="74" spans="1:9" ht="30" x14ac:dyDescent="0.25">
      <c r="A74" s="104" t="s">
        <v>495</v>
      </c>
      <c r="B74" s="105" t="s">
        <v>205</v>
      </c>
      <c r="C74" s="105" t="s">
        <v>402</v>
      </c>
      <c r="D74" s="106">
        <v>42830</v>
      </c>
      <c r="E74" s="106">
        <v>42859</v>
      </c>
      <c r="F74" s="105" t="s">
        <v>601</v>
      </c>
      <c r="G74" s="84">
        <v>1</v>
      </c>
      <c r="H74" s="85">
        <v>1</v>
      </c>
      <c r="I74" s="86">
        <v>319</v>
      </c>
    </row>
    <row r="75" spans="1:9" ht="75" x14ac:dyDescent="0.25">
      <c r="A75" s="104" t="s">
        <v>529</v>
      </c>
      <c r="B75" s="105" t="s">
        <v>205</v>
      </c>
      <c r="C75" s="105" t="s">
        <v>416</v>
      </c>
      <c r="D75" s="106">
        <v>42759</v>
      </c>
      <c r="E75" s="106">
        <v>42838</v>
      </c>
      <c r="F75" s="105" t="s">
        <v>615</v>
      </c>
      <c r="G75" s="84">
        <v>60</v>
      </c>
      <c r="H75" s="85">
        <v>24</v>
      </c>
      <c r="I75" s="86">
        <v>649.91999999999996</v>
      </c>
    </row>
    <row r="76" spans="1:9" ht="45" x14ac:dyDescent="0.25">
      <c r="A76" s="104" t="s">
        <v>496</v>
      </c>
      <c r="B76" s="105" t="s">
        <v>205</v>
      </c>
      <c r="C76" s="105" t="s">
        <v>395</v>
      </c>
      <c r="D76" s="106">
        <v>42830</v>
      </c>
      <c r="E76" s="106">
        <v>42872</v>
      </c>
      <c r="F76" s="105" t="s">
        <v>601</v>
      </c>
      <c r="G76" s="84">
        <v>20</v>
      </c>
      <c r="H76" s="85">
        <v>20</v>
      </c>
      <c r="I76" s="86">
        <v>640</v>
      </c>
    </row>
    <row r="77" spans="1:9" ht="45" x14ac:dyDescent="0.25">
      <c r="A77" s="104" t="s">
        <v>496</v>
      </c>
      <c r="B77" s="105" t="s">
        <v>205</v>
      </c>
      <c r="C77" s="105" t="s">
        <v>413</v>
      </c>
      <c r="D77" s="106">
        <v>42759</v>
      </c>
      <c r="E77" s="106">
        <v>42872</v>
      </c>
      <c r="F77" s="105" t="s">
        <v>601</v>
      </c>
      <c r="G77" s="84">
        <v>10</v>
      </c>
      <c r="H77" s="85">
        <v>10</v>
      </c>
      <c r="I77" s="86">
        <v>320</v>
      </c>
    </row>
    <row r="78" spans="1:9" ht="75" x14ac:dyDescent="0.25">
      <c r="A78" s="104" t="s">
        <v>530</v>
      </c>
      <c r="B78" s="105" t="s">
        <v>205</v>
      </c>
      <c r="C78" s="105" t="s">
        <v>416</v>
      </c>
      <c r="D78" s="106">
        <v>42759</v>
      </c>
      <c r="E78" s="106">
        <v>42838</v>
      </c>
      <c r="F78" s="105" t="s">
        <v>615</v>
      </c>
      <c r="G78" s="84">
        <v>200</v>
      </c>
      <c r="H78" s="85">
        <v>46</v>
      </c>
      <c r="I78" s="86">
        <v>203.32</v>
      </c>
    </row>
    <row r="79" spans="1:9" ht="30" x14ac:dyDescent="0.25">
      <c r="A79" s="104" t="s">
        <v>463</v>
      </c>
      <c r="B79" s="105" t="s">
        <v>205</v>
      </c>
      <c r="C79" s="105" t="s">
        <v>402</v>
      </c>
      <c r="D79" s="106">
        <v>42830</v>
      </c>
      <c r="E79" s="106">
        <v>42859</v>
      </c>
      <c r="F79" s="105" t="s">
        <v>601</v>
      </c>
      <c r="G79" s="84">
        <v>4</v>
      </c>
      <c r="H79" s="85">
        <v>4</v>
      </c>
      <c r="I79" s="86">
        <v>156</v>
      </c>
    </row>
    <row r="80" spans="1:9" ht="30" x14ac:dyDescent="0.25">
      <c r="A80" s="104" t="s">
        <v>450</v>
      </c>
      <c r="B80" s="105" t="s">
        <v>205</v>
      </c>
      <c r="C80" s="105" t="s">
        <v>402</v>
      </c>
      <c r="D80" s="106">
        <v>42830</v>
      </c>
      <c r="E80" s="106">
        <v>42859</v>
      </c>
      <c r="F80" s="105" t="s">
        <v>601</v>
      </c>
      <c r="G80" s="84">
        <v>10</v>
      </c>
      <c r="H80" s="85">
        <v>6</v>
      </c>
      <c r="I80" s="86">
        <v>612</v>
      </c>
    </row>
    <row r="81" spans="1:9" x14ac:dyDescent="0.25">
      <c r="A81" s="104" t="s">
        <v>455</v>
      </c>
      <c r="B81" s="105" t="s">
        <v>205</v>
      </c>
      <c r="C81" s="105" t="s">
        <v>401</v>
      </c>
      <c r="D81" s="106">
        <v>42830</v>
      </c>
      <c r="E81" s="106">
        <v>42859</v>
      </c>
      <c r="F81" s="105" t="s">
        <v>601</v>
      </c>
      <c r="G81" s="84">
        <v>10</v>
      </c>
      <c r="H81" s="85">
        <v>10</v>
      </c>
      <c r="I81" s="86">
        <v>10200</v>
      </c>
    </row>
    <row r="82" spans="1:9" x14ac:dyDescent="0.25">
      <c r="A82" s="104" t="s">
        <v>455</v>
      </c>
      <c r="B82" s="105" t="s">
        <v>205</v>
      </c>
      <c r="C82" s="105" t="s">
        <v>416</v>
      </c>
      <c r="D82" s="106">
        <v>42760</v>
      </c>
      <c r="E82" s="106">
        <v>42838</v>
      </c>
      <c r="F82" s="105" t="s">
        <v>601</v>
      </c>
      <c r="G82" s="84">
        <v>6</v>
      </c>
      <c r="H82" s="85">
        <v>6</v>
      </c>
      <c r="I82" s="86">
        <v>6120</v>
      </c>
    </row>
    <row r="83" spans="1:9" ht="75" x14ac:dyDescent="0.25">
      <c r="A83" s="104" t="s">
        <v>525</v>
      </c>
      <c r="B83" s="105" t="s">
        <v>205</v>
      </c>
      <c r="C83" s="105" t="s">
        <v>414</v>
      </c>
      <c r="D83" s="106">
        <v>42759</v>
      </c>
      <c r="E83" s="106">
        <v>42894</v>
      </c>
      <c r="F83" s="105" t="s">
        <v>615</v>
      </c>
      <c r="G83" s="84">
        <v>200</v>
      </c>
      <c r="H83" s="85">
        <v>83</v>
      </c>
      <c r="I83" s="86">
        <v>605.07000000000005</v>
      </c>
    </row>
    <row r="84" spans="1:9" x14ac:dyDescent="0.25">
      <c r="A84" s="104" t="s">
        <v>462</v>
      </c>
      <c r="B84" s="105" t="s">
        <v>205</v>
      </c>
      <c r="C84" s="105" t="s">
        <v>402</v>
      </c>
      <c r="D84" s="106">
        <v>42830</v>
      </c>
      <c r="E84" s="106">
        <v>42859</v>
      </c>
      <c r="F84" s="105" t="s">
        <v>601</v>
      </c>
      <c r="G84" s="84">
        <v>12</v>
      </c>
      <c r="H84" s="85">
        <v>12</v>
      </c>
      <c r="I84" s="86">
        <v>118.80000000000001</v>
      </c>
    </row>
    <row r="85" spans="1:9" ht="30" x14ac:dyDescent="0.25">
      <c r="A85" s="104" t="s">
        <v>447</v>
      </c>
      <c r="B85" s="105" t="s">
        <v>205</v>
      </c>
      <c r="C85" s="105" t="s">
        <v>402</v>
      </c>
      <c r="D85" s="106">
        <v>42830</v>
      </c>
      <c r="E85" s="106">
        <v>42859</v>
      </c>
      <c r="F85" s="105" t="s">
        <v>601</v>
      </c>
      <c r="G85" s="84">
        <v>173</v>
      </c>
      <c r="H85" s="85">
        <v>32</v>
      </c>
      <c r="I85" s="86">
        <v>68.8</v>
      </c>
    </row>
    <row r="86" spans="1:9" ht="30" x14ac:dyDescent="0.25">
      <c r="A86" s="104" t="s">
        <v>447</v>
      </c>
      <c r="B86" s="105" t="s">
        <v>205</v>
      </c>
      <c r="C86" s="105" t="s">
        <v>416</v>
      </c>
      <c r="D86" s="106">
        <v>42759</v>
      </c>
      <c r="E86" s="106">
        <v>42838</v>
      </c>
      <c r="F86" s="105" t="s">
        <v>601</v>
      </c>
      <c r="G86" s="84">
        <v>100</v>
      </c>
      <c r="H86" s="85">
        <v>100</v>
      </c>
      <c r="I86" s="86">
        <v>215</v>
      </c>
    </row>
    <row r="87" spans="1:9" ht="30" x14ac:dyDescent="0.25">
      <c r="A87" s="104" t="s">
        <v>499</v>
      </c>
      <c r="B87" s="105" t="s">
        <v>205</v>
      </c>
      <c r="C87" s="105" t="s">
        <v>393</v>
      </c>
      <c r="D87" s="106">
        <v>42830</v>
      </c>
      <c r="E87" s="106">
        <v>42920</v>
      </c>
      <c r="F87" s="105" t="s">
        <v>601</v>
      </c>
      <c r="G87" s="84">
        <v>20</v>
      </c>
      <c r="H87" s="85">
        <v>20</v>
      </c>
      <c r="I87" s="86">
        <v>143.80000000000001</v>
      </c>
    </row>
    <row r="88" spans="1:9" ht="30" x14ac:dyDescent="0.25">
      <c r="A88" s="104" t="s">
        <v>500</v>
      </c>
      <c r="B88" s="105" t="s">
        <v>205</v>
      </c>
      <c r="C88" s="105" t="s">
        <v>402</v>
      </c>
      <c r="D88" s="106">
        <v>42830</v>
      </c>
      <c r="E88" s="106">
        <v>42859</v>
      </c>
      <c r="F88" s="105" t="s">
        <v>601</v>
      </c>
      <c r="G88" s="84">
        <v>100</v>
      </c>
      <c r="H88" s="85">
        <v>54</v>
      </c>
      <c r="I88" s="86">
        <v>405</v>
      </c>
    </row>
    <row r="89" spans="1:9" ht="30" x14ac:dyDescent="0.25">
      <c r="A89" s="104" t="s">
        <v>500</v>
      </c>
      <c r="B89" s="105" t="s">
        <v>205</v>
      </c>
      <c r="C89" s="105" t="s">
        <v>416</v>
      </c>
      <c r="D89" s="106">
        <v>42759</v>
      </c>
      <c r="E89" s="106">
        <v>42838</v>
      </c>
      <c r="F89" s="105" t="s">
        <v>601</v>
      </c>
      <c r="G89" s="84">
        <v>66</v>
      </c>
      <c r="H89" s="85">
        <v>66</v>
      </c>
      <c r="I89" s="86">
        <v>495</v>
      </c>
    </row>
    <row r="90" spans="1:9" ht="30" x14ac:dyDescent="0.25">
      <c r="A90" s="104" t="s">
        <v>501</v>
      </c>
      <c r="B90" s="105" t="s">
        <v>205</v>
      </c>
      <c r="C90" s="105" t="s">
        <v>402</v>
      </c>
      <c r="D90" s="106">
        <v>42830</v>
      </c>
      <c r="E90" s="106">
        <v>42859</v>
      </c>
      <c r="F90" s="105" t="s">
        <v>601</v>
      </c>
      <c r="G90" s="84">
        <v>8</v>
      </c>
      <c r="H90" s="85">
        <v>8</v>
      </c>
      <c r="I90" s="86">
        <v>39.200000000000003</v>
      </c>
    </row>
    <row r="91" spans="1:9" ht="30" x14ac:dyDescent="0.25">
      <c r="A91" s="104" t="s">
        <v>531</v>
      </c>
      <c r="B91" s="105" t="s">
        <v>205</v>
      </c>
      <c r="C91" s="105" t="s">
        <v>416</v>
      </c>
      <c r="D91" s="106">
        <v>42759</v>
      </c>
      <c r="E91" s="106">
        <v>42838</v>
      </c>
      <c r="F91" s="105" t="s">
        <v>601</v>
      </c>
      <c r="G91" s="84">
        <v>10</v>
      </c>
      <c r="H91" s="85">
        <v>10</v>
      </c>
      <c r="I91" s="86">
        <v>91.5</v>
      </c>
    </row>
    <row r="92" spans="1:9" ht="30" x14ac:dyDescent="0.25">
      <c r="A92" s="104" t="s">
        <v>468</v>
      </c>
      <c r="B92" s="105" t="s">
        <v>205</v>
      </c>
      <c r="C92" s="105" t="s">
        <v>402</v>
      </c>
      <c r="D92" s="106">
        <v>42830</v>
      </c>
      <c r="E92" s="106">
        <v>42859</v>
      </c>
      <c r="F92" s="105" t="s">
        <v>601</v>
      </c>
      <c r="G92" s="84">
        <v>200</v>
      </c>
      <c r="H92" s="85">
        <v>200</v>
      </c>
      <c r="I92" s="86">
        <v>1600</v>
      </c>
    </row>
    <row r="93" spans="1:9" ht="30" x14ac:dyDescent="0.25">
      <c r="A93" s="104" t="s">
        <v>482</v>
      </c>
      <c r="B93" s="105" t="s">
        <v>205</v>
      </c>
      <c r="C93" s="105" t="s">
        <v>402</v>
      </c>
      <c r="D93" s="106">
        <v>42830</v>
      </c>
      <c r="E93" s="106">
        <v>42859</v>
      </c>
      <c r="F93" s="105" t="s">
        <v>601</v>
      </c>
      <c r="G93" s="84">
        <v>12</v>
      </c>
      <c r="H93" s="85">
        <v>12</v>
      </c>
      <c r="I93" s="86">
        <v>38.76</v>
      </c>
    </row>
    <row r="94" spans="1:9" ht="30" x14ac:dyDescent="0.25">
      <c r="A94" s="104" t="s">
        <v>482</v>
      </c>
      <c r="B94" s="105" t="s">
        <v>205</v>
      </c>
      <c r="C94" s="105" t="s">
        <v>416</v>
      </c>
      <c r="D94" s="106">
        <v>42759</v>
      </c>
      <c r="E94" s="106">
        <v>42838</v>
      </c>
      <c r="F94" s="105" t="s">
        <v>601</v>
      </c>
      <c r="G94" s="84">
        <v>20</v>
      </c>
      <c r="H94" s="85">
        <v>20</v>
      </c>
      <c r="I94" s="86">
        <v>64.599999999999994</v>
      </c>
    </row>
    <row r="95" spans="1:9" ht="30" x14ac:dyDescent="0.25">
      <c r="A95" s="104" t="s">
        <v>469</v>
      </c>
      <c r="B95" s="105" t="s">
        <v>205</v>
      </c>
      <c r="C95" s="105" t="s">
        <v>402</v>
      </c>
      <c r="D95" s="106">
        <v>41734</v>
      </c>
      <c r="E95" s="106">
        <v>42859</v>
      </c>
      <c r="F95" s="105" t="s">
        <v>601</v>
      </c>
      <c r="G95" s="84">
        <v>100</v>
      </c>
      <c r="H95" s="85">
        <v>66</v>
      </c>
      <c r="I95" s="86">
        <v>287.09999999999997</v>
      </c>
    </row>
    <row r="96" spans="1:9" ht="30" x14ac:dyDescent="0.25">
      <c r="A96" s="104" t="s">
        <v>464</v>
      </c>
      <c r="B96" s="105" t="s">
        <v>205</v>
      </c>
      <c r="C96" s="105" t="s">
        <v>402</v>
      </c>
      <c r="D96" s="106">
        <v>42830</v>
      </c>
      <c r="E96" s="106">
        <v>42859</v>
      </c>
      <c r="F96" s="105" t="s">
        <v>601</v>
      </c>
      <c r="G96" s="84">
        <v>12</v>
      </c>
      <c r="H96" s="85">
        <v>12</v>
      </c>
      <c r="I96" s="86">
        <v>55.92</v>
      </c>
    </row>
    <row r="97" spans="1:9" ht="30" x14ac:dyDescent="0.25">
      <c r="A97" s="104" t="s">
        <v>446</v>
      </c>
      <c r="B97" s="105" t="s">
        <v>205</v>
      </c>
      <c r="C97" s="105" t="s">
        <v>402</v>
      </c>
      <c r="D97" s="106">
        <v>42830</v>
      </c>
      <c r="E97" s="106">
        <v>42859</v>
      </c>
      <c r="F97" s="105" t="s">
        <v>601</v>
      </c>
      <c r="G97" s="84">
        <v>16</v>
      </c>
      <c r="H97" s="85">
        <v>16</v>
      </c>
      <c r="I97" s="86">
        <v>77.92</v>
      </c>
    </row>
    <row r="98" spans="1:9" ht="75" x14ac:dyDescent="0.25">
      <c r="A98" s="104" t="s">
        <v>446</v>
      </c>
      <c r="B98" s="105" t="s">
        <v>205</v>
      </c>
      <c r="C98" s="105" t="s">
        <v>416</v>
      </c>
      <c r="D98" s="106">
        <v>42759</v>
      </c>
      <c r="E98" s="106">
        <v>42838</v>
      </c>
      <c r="F98" s="105" t="s">
        <v>615</v>
      </c>
      <c r="G98" s="84">
        <v>100</v>
      </c>
      <c r="H98" s="85">
        <v>41</v>
      </c>
      <c r="I98" s="86">
        <v>208.69</v>
      </c>
    </row>
    <row r="99" spans="1:9" ht="45" x14ac:dyDescent="0.25">
      <c r="A99" s="104" t="s">
        <v>453</v>
      </c>
      <c r="B99" s="105" t="s">
        <v>205</v>
      </c>
      <c r="C99" s="105" t="s">
        <v>402</v>
      </c>
      <c r="D99" s="106">
        <v>42830</v>
      </c>
      <c r="E99" s="106">
        <v>42859</v>
      </c>
      <c r="F99" s="105" t="s">
        <v>601</v>
      </c>
      <c r="G99" s="84">
        <v>6</v>
      </c>
      <c r="H99" s="85">
        <v>6</v>
      </c>
      <c r="I99" s="86">
        <v>13.200000000000001</v>
      </c>
    </row>
    <row r="100" spans="1:9" ht="45" x14ac:dyDescent="0.25">
      <c r="A100" s="104" t="s">
        <v>453</v>
      </c>
      <c r="B100" s="105" t="s">
        <v>205</v>
      </c>
      <c r="C100" s="105" t="s">
        <v>416</v>
      </c>
      <c r="D100" s="106">
        <v>42759</v>
      </c>
      <c r="E100" s="106">
        <v>42838</v>
      </c>
      <c r="F100" s="105" t="s">
        <v>601</v>
      </c>
      <c r="G100" s="84">
        <v>24</v>
      </c>
      <c r="H100" s="85">
        <v>24</v>
      </c>
      <c r="I100" s="86">
        <v>52.800000000000004</v>
      </c>
    </row>
    <row r="101" spans="1:9" ht="45" x14ac:dyDescent="0.25">
      <c r="A101" s="104" t="s">
        <v>472</v>
      </c>
      <c r="B101" s="105" t="s">
        <v>205</v>
      </c>
      <c r="C101" s="105" t="s">
        <v>416</v>
      </c>
      <c r="D101" s="106">
        <v>42759</v>
      </c>
      <c r="E101" s="106">
        <v>42838</v>
      </c>
      <c r="F101" s="105" t="s">
        <v>601</v>
      </c>
      <c r="G101" s="84">
        <v>28</v>
      </c>
      <c r="H101" s="85">
        <v>28</v>
      </c>
      <c r="I101" s="86">
        <v>103.04</v>
      </c>
    </row>
    <row r="102" spans="1:9" ht="45" x14ac:dyDescent="0.25">
      <c r="A102" s="104" t="s">
        <v>473</v>
      </c>
      <c r="B102" s="105" t="s">
        <v>205</v>
      </c>
      <c r="C102" s="105" t="s">
        <v>402</v>
      </c>
      <c r="D102" s="106">
        <v>42830</v>
      </c>
      <c r="E102" s="106">
        <v>42859</v>
      </c>
      <c r="F102" s="105" t="s">
        <v>601</v>
      </c>
      <c r="G102" s="84">
        <v>10</v>
      </c>
      <c r="H102" s="85">
        <v>10</v>
      </c>
      <c r="I102" s="86">
        <v>52</v>
      </c>
    </row>
    <row r="103" spans="1:9" ht="45" x14ac:dyDescent="0.25">
      <c r="A103" s="104" t="s">
        <v>473</v>
      </c>
      <c r="B103" s="105" t="s">
        <v>205</v>
      </c>
      <c r="C103" s="105" t="s">
        <v>416</v>
      </c>
      <c r="D103" s="106">
        <v>42759</v>
      </c>
      <c r="E103" s="106">
        <v>42838</v>
      </c>
      <c r="F103" s="105" t="s">
        <v>601</v>
      </c>
      <c r="G103" s="84">
        <v>33</v>
      </c>
      <c r="H103" s="85">
        <v>33</v>
      </c>
      <c r="I103" s="86">
        <v>171.6</v>
      </c>
    </row>
    <row r="104" spans="1:9" ht="45" x14ac:dyDescent="0.25">
      <c r="A104" s="104" t="s">
        <v>486</v>
      </c>
      <c r="B104" s="105" t="s">
        <v>205</v>
      </c>
      <c r="C104" s="105" t="s">
        <v>402</v>
      </c>
      <c r="D104" s="106">
        <v>42830</v>
      </c>
      <c r="E104" s="106">
        <v>42859</v>
      </c>
      <c r="F104" s="105" t="s">
        <v>601</v>
      </c>
      <c r="G104" s="84">
        <v>120</v>
      </c>
      <c r="H104" s="85">
        <v>108</v>
      </c>
      <c r="I104" s="86">
        <v>642.6</v>
      </c>
    </row>
    <row r="105" spans="1:9" ht="45" x14ac:dyDescent="0.25">
      <c r="A105" s="104" t="s">
        <v>486</v>
      </c>
      <c r="B105" s="105" t="s">
        <v>205</v>
      </c>
      <c r="C105" s="105" t="s">
        <v>416</v>
      </c>
      <c r="D105" s="106">
        <v>42759</v>
      </c>
      <c r="E105" s="106">
        <v>42838</v>
      </c>
      <c r="F105" s="105" t="s">
        <v>601</v>
      </c>
      <c r="G105" s="84">
        <v>225</v>
      </c>
      <c r="H105" s="85">
        <v>225</v>
      </c>
      <c r="I105" s="86">
        <v>1338.75</v>
      </c>
    </row>
    <row r="106" spans="1:9" ht="75" x14ac:dyDescent="0.25">
      <c r="A106" s="104" t="s">
        <v>509</v>
      </c>
      <c r="B106" s="105" t="s">
        <v>205</v>
      </c>
      <c r="C106" s="105" t="s">
        <v>393</v>
      </c>
      <c r="D106" s="106">
        <v>42830</v>
      </c>
      <c r="E106" s="106">
        <v>42920</v>
      </c>
      <c r="F106" s="105" t="s">
        <v>645</v>
      </c>
      <c r="G106" s="84">
        <v>150</v>
      </c>
      <c r="H106" s="85">
        <v>130</v>
      </c>
      <c r="I106" s="86">
        <v>569.4</v>
      </c>
    </row>
    <row r="107" spans="1:9" ht="75" x14ac:dyDescent="0.25">
      <c r="A107" s="104" t="s">
        <v>449</v>
      </c>
      <c r="B107" s="105" t="s">
        <v>205</v>
      </c>
      <c r="C107" s="105" t="s">
        <v>394</v>
      </c>
      <c r="D107" s="106">
        <v>42830</v>
      </c>
      <c r="E107" s="106">
        <v>42894</v>
      </c>
      <c r="F107" s="105" t="s">
        <v>645</v>
      </c>
      <c r="G107" s="84">
        <v>236</v>
      </c>
      <c r="H107" s="85">
        <v>167</v>
      </c>
      <c r="I107" s="86">
        <v>951.9</v>
      </c>
    </row>
    <row r="108" spans="1:9" x14ac:dyDescent="0.25">
      <c r="A108" s="104" t="s">
        <v>526</v>
      </c>
      <c r="B108" s="105" t="s">
        <v>205</v>
      </c>
      <c r="C108" s="105" t="s">
        <v>416</v>
      </c>
      <c r="D108" s="106">
        <v>42759</v>
      </c>
      <c r="E108" s="106">
        <v>42838</v>
      </c>
      <c r="F108" s="105" t="s">
        <v>601</v>
      </c>
      <c r="G108" s="84">
        <v>6</v>
      </c>
      <c r="H108" s="85">
        <v>6</v>
      </c>
      <c r="I108" s="86">
        <v>66</v>
      </c>
    </row>
    <row r="109" spans="1:9" ht="75" x14ac:dyDescent="0.25">
      <c r="A109" s="104" t="s">
        <v>448</v>
      </c>
      <c r="B109" s="105" t="s">
        <v>205</v>
      </c>
      <c r="C109" s="105" t="s">
        <v>395</v>
      </c>
      <c r="D109" s="106">
        <v>42830</v>
      </c>
      <c r="E109" s="106">
        <v>42872</v>
      </c>
      <c r="F109" s="105" t="s">
        <v>645</v>
      </c>
      <c r="G109" s="84">
        <v>128</v>
      </c>
      <c r="H109" s="85">
        <v>82</v>
      </c>
      <c r="I109" s="86">
        <v>288.64</v>
      </c>
    </row>
    <row r="110" spans="1:9" ht="30" x14ac:dyDescent="0.25">
      <c r="A110" s="104" t="s">
        <v>448</v>
      </c>
      <c r="B110" s="105" t="s">
        <v>205</v>
      </c>
      <c r="C110" s="105" t="s">
        <v>413</v>
      </c>
      <c r="D110" s="106">
        <v>42759</v>
      </c>
      <c r="E110" s="106">
        <v>42872</v>
      </c>
      <c r="F110" s="105" t="s">
        <v>601</v>
      </c>
      <c r="G110" s="84">
        <v>50</v>
      </c>
      <c r="H110" s="85">
        <v>50</v>
      </c>
      <c r="I110" s="86">
        <v>176</v>
      </c>
    </row>
    <row r="111" spans="1:9" x14ac:dyDescent="0.25">
      <c r="A111" s="104" t="s">
        <v>512</v>
      </c>
      <c r="B111" s="105" t="s">
        <v>205</v>
      </c>
      <c r="C111" s="105" t="s">
        <v>401</v>
      </c>
      <c r="D111" s="106">
        <v>42830</v>
      </c>
      <c r="E111" s="106">
        <v>42859</v>
      </c>
      <c r="F111" s="105" t="s">
        <v>601</v>
      </c>
      <c r="G111" s="84">
        <v>10</v>
      </c>
      <c r="H111" s="85">
        <v>10</v>
      </c>
      <c r="I111" s="86">
        <v>18000</v>
      </c>
    </row>
    <row r="112" spans="1:9" x14ac:dyDescent="0.25">
      <c r="A112" s="104" t="s">
        <v>512</v>
      </c>
      <c r="B112" s="105" t="s">
        <v>205</v>
      </c>
      <c r="C112" s="105" t="s">
        <v>416</v>
      </c>
      <c r="D112" s="106">
        <v>42759</v>
      </c>
      <c r="E112" s="106">
        <v>42838</v>
      </c>
      <c r="F112" s="105" t="s">
        <v>601</v>
      </c>
      <c r="G112" s="84">
        <v>6</v>
      </c>
      <c r="H112" s="85">
        <v>6</v>
      </c>
      <c r="I112" s="86">
        <v>10800</v>
      </c>
    </row>
    <row r="113" spans="1:9" ht="30" x14ac:dyDescent="0.25">
      <c r="A113" s="104" t="s">
        <v>444</v>
      </c>
      <c r="B113" s="105" t="s">
        <v>205</v>
      </c>
      <c r="C113" s="105" t="s">
        <v>401</v>
      </c>
      <c r="D113" s="106">
        <v>42830</v>
      </c>
      <c r="E113" s="106">
        <v>42859</v>
      </c>
      <c r="F113" s="105" t="s">
        <v>601</v>
      </c>
      <c r="G113" s="84">
        <v>140</v>
      </c>
      <c r="H113" s="85">
        <v>132</v>
      </c>
      <c r="I113" s="86">
        <v>526.68000000000006</v>
      </c>
    </row>
    <row r="114" spans="1:9" ht="30" x14ac:dyDescent="0.25">
      <c r="A114" s="104" t="s">
        <v>444</v>
      </c>
      <c r="B114" s="105" t="s">
        <v>205</v>
      </c>
      <c r="C114" s="105" t="s">
        <v>416</v>
      </c>
      <c r="D114" s="106">
        <v>42759</v>
      </c>
      <c r="E114" s="106">
        <v>42838</v>
      </c>
      <c r="F114" s="105" t="s">
        <v>601</v>
      </c>
      <c r="G114" s="84">
        <v>200</v>
      </c>
      <c r="H114" s="85">
        <v>200</v>
      </c>
      <c r="I114" s="86">
        <v>798</v>
      </c>
    </row>
    <row r="115" spans="1:9" ht="30" x14ac:dyDescent="0.25">
      <c r="A115" s="104" t="s">
        <v>484</v>
      </c>
      <c r="B115" s="105" t="s">
        <v>205</v>
      </c>
      <c r="C115" s="105" t="s">
        <v>402</v>
      </c>
      <c r="D115" s="106">
        <v>42830</v>
      </c>
      <c r="E115" s="106">
        <v>42859</v>
      </c>
      <c r="F115" s="105" t="s">
        <v>601</v>
      </c>
      <c r="G115" s="84">
        <v>82</v>
      </c>
      <c r="H115" s="85">
        <v>74</v>
      </c>
      <c r="I115" s="86">
        <v>304.88</v>
      </c>
    </row>
    <row r="116" spans="1:9" ht="30" x14ac:dyDescent="0.25">
      <c r="A116" s="104" t="s">
        <v>484</v>
      </c>
      <c r="B116" s="105" t="s">
        <v>205</v>
      </c>
      <c r="C116" s="105" t="s">
        <v>416</v>
      </c>
      <c r="D116" s="106">
        <v>42759</v>
      </c>
      <c r="E116" s="106">
        <v>42838</v>
      </c>
      <c r="F116" s="105" t="s">
        <v>601</v>
      </c>
      <c r="G116" s="84">
        <v>50</v>
      </c>
      <c r="H116" s="85">
        <v>50</v>
      </c>
      <c r="I116" s="86">
        <v>206</v>
      </c>
    </row>
    <row r="117" spans="1:9" ht="30" x14ac:dyDescent="0.25">
      <c r="A117" s="104" t="s">
        <v>461</v>
      </c>
      <c r="B117" s="105" t="s">
        <v>205</v>
      </c>
      <c r="C117" s="105" t="s">
        <v>416</v>
      </c>
      <c r="D117" s="106">
        <v>42759</v>
      </c>
      <c r="E117" s="106">
        <v>42838</v>
      </c>
      <c r="F117" s="105" t="s">
        <v>601</v>
      </c>
      <c r="G117" s="84">
        <v>30</v>
      </c>
      <c r="H117" s="85">
        <v>30</v>
      </c>
      <c r="I117" s="86">
        <v>419.40000000000003</v>
      </c>
    </row>
    <row r="118" spans="1:9" ht="75" x14ac:dyDescent="0.25">
      <c r="A118" s="104" t="s">
        <v>517</v>
      </c>
      <c r="B118" s="105" t="s">
        <v>205</v>
      </c>
      <c r="C118" s="105" t="s">
        <v>416</v>
      </c>
      <c r="D118" s="106">
        <v>42759</v>
      </c>
      <c r="E118" s="106">
        <v>42838</v>
      </c>
      <c r="F118" s="105" t="s">
        <v>615</v>
      </c>
      <c r="G118" s="84">
        <v>168</v>
      </c>
      <c r="H118" s="85">
        <v>5</v>
      </c>
      <c r="I118" s="86">
        <v>24.75</v>
      </c>
    </row>
    <row r="119" spans="1:9" ht="45" x14ac:dyDescent="0.25">
      <c r="A119" s="104" t="s">
        <v>535</v>
      </c>
      <c r="B119" s="105" t="s">
        <v>205</v>
      </c>
      <c r="C119" s="105" t="s">
        <v>416</v>
      </c>
      <c r="D119" s="106">
        <v>42759</v>
      </c>
      <c r="E119" s="106">
        <v>42838</v>
      </c>
      <c r="F119" s="105" t="s">
        <v>601</v>
      </c>
      <c r="G119" s="84">
        <v>4</v>
      </c>
      <c r="H119" s="85">
        <v>4</v>
      </c>
      <c r="I119" s="86">
        <v>90.2</v>
      </c>
    </row>
    <row r="120" spans="1:9" x14ac:dyDescent="0.25">
      <c r="A120" s="104" t="s">
        <v>510</v>
      </c>
      <c r="B120" s="105" t="s">
        <v>205</v>
      </c>
      <c r="C120" s="105" t="s">
        <v>393</v>
      </c>
      <c r="D120" s="106">
        <v>42830</v>
      </c>
      <c r="E120" s="106">
        <v>42920</v>
      </c>
      <c r="F120" s="105" t="s">
        <v>601</v>
      </c>
      <c r="G120" s="84">
        <v>150</v>
      </c>
      <c r="H120" s="85">
        <v>130</v>
      </c>
      <c r="I120" s="86">
        <v>622.70000000000005</v>
      </c>
    </row>
    <row r="121" spans="1:9" ht="75" x14ac:dyDescent="0.25">
      <c r="A121" s="104" t="s">
        <v>532</v>
      </c>
      <c r="B121" s="105" t="s">
        <v>205</v>
      </c>
      <c r="C121" s="105" t="s">
        <v>416</v>
      </c>
      <c r="D121" s="106">
        <v>42759</v>
      </c>
      <c r="E121" s="106">
        <v>42838</v>
      </c>
      <c r="F121" s="105" t="s">
        <v>615</v>
      </c>
      <c r="G121" s="84">
        <v>100</v>
      </c>
      <c r="H121" s="85">
        <v>68</v>
      </c>
      <c r="I121" s="86">
        <v>285.60000000000002</v>
      </c>
    </row>
    <row r="122" spans="1:9" x14ac:dyDescent="0.25">
      <c r="A122" s="104" t="s">
        <v>549</v>
      </c>
      <c r="B122" s="105" t="s">
        <v>205</v>
      </c>
      <c r="C122" s="105" t="s">
        <v>429</v>
      </c>
      <c r="D122" s="106">
        <v>42835</v>
      </c>
      <c r="E122" s="106">
        <v>42898</v>
      </c>
      <c r="F122" s="105" t="s">
        <v>601</v>
      </c>
      <c r="G122" s="84">
        <v>15</v>
      </c>
      <c r="H122" s="85">
        <v>15</v>
      </c>
      <c r="I122" s="86">
        <v>512.84999999999991</v>
      </c>
    </row>
    <row r="123" spans="1:9" x14ac:dyDescent="0.25">
      <c r="A123" s="104" t="s">
        <v>538</v>
      </c>
      <c r="B123" s="105" t="s">
        <v>205</v>
      </c>
      <c r="C123" s="105" t="s">
        <v>435</v>
      </c>
      <c r="D123" s="106">
        <v>42835</v>
      </c>
      <c r="E123" s="106">
        <v>42895</v>
      </c>
      <c r="F123" s="105" t="s">
        <v>601</v>
      </c>
      <c r="G123" s="84">
        <v>52</v>
      </c>
      <c r="H123" s="85">
        <v>52</v>
      </c>
      <c r="I123" s="86">
        <v>14.560000000000002</v>
      </c>
    </row>
    <row r="124" spans="1:9" ht="135" x14ac:dyDescent="0.25">
      <c r="A124" s="104" t="s">
        <v>539</v>
      </c>
      <c r="B124" s="105" t="s">
        <v>205</v>
      </c>
      <c r="C124" s="105" t="s">
        <v>435</v>
      </c>
      <c r="D124" s="106">
        <v>42835</v>
      </c>
      <c r="E124" s="106">
        <v>42895</v>
      </c>
      <c r="F124" s="105" t="s">
        <v>601</v>
      </c>
      <c r="G124" s="84">
        <v>12</v>
      </c>
      <c r="H124" s="85">
        <v>12</v>
      </c>
      <c r="I124" s="86">
        <v>3563.88</v>
      </c>
    </row>
    <row r="125" spans="1:9" ht="30" x14ac:dyDescent="0.25">
      <c r="A125" s="104" t="s">
        <v>556</v>
      </c>
      <c r="B125" s="105" t="s">
        <v>205</v>
      </c>
      <c r="C125" s="105" t="s">
        <v>433</v>
      </c>
      <c r="D125" s="106">
        <v>42835</v>
      </c>
      <c r="E125" s="106">
        <v>42905</v>
      </c>
      <c r="F125" s="105" t="s">
        <v>601</v>
      </c>
      <c r="G125" s="84">
        <v>1</v>
      </c>
      <c r="H125" s="85">
        <v>1</v>
      </c>
      <c r="I125" s="86">
        <v>115</v>
      </c>
    </row>
    <row r="126" spans="1:9" ht="30" x14ac:dyDescent="0.25">
      <c r="A126" s="104" t="s">
        <v>568</v>
      </c>
      <c r="B126" s="105" t="s">
        <v>205</v>
      </c>
      <c r="C126" s="105" t="s">
        <v>433</v>
      </c>
      <c r="D126" s="106">
        <v>42835</v>
      </c>
      <c r="E126" s="106">
        <v>42905</v>
      </c>
      <c r="F126" s="105" t="s">
        <v>601</v>
      </c>
      <c r="G126" s="84">
        <v>1</v>
      </c>
      <c r="H126" s="85">
        <v>1</v>
      </c>
      <c r="I126" s="86">
        <v>118</v>
      </c>
    </row>
    <row r="127" spans="1:9" ht="30" x14ac:dyDescent="0.25">
      <c r="A127" s="104" t="s">
        <v>564</v>
      </c>
      <c r="B127" s="105" t="s">
        <v>205</v>
      </c>
      <c r="C127" s="105" t="s">
        <v>433</v>
      </c>
      <c r="D127" s="106">
        <v>42835</v>
      </c>
      <c r="E127" s="106">
        <v>42905</v>
      </c>
      <c r="F127" s="105" t="s">
        <v>601</v>
      </c>
      <c r="G127" s="84">
        <v>1</v>
      </c>
      <c r="H127" s="85">
        <v>1</v>
      </c>
      <c r="I127" s="86">
        <v>110.41</v>
      </c>
    </row>
    <row r="128" spans="1:9" ht="45" x14ac:dyDescent="0.25">
      <c r="A128" s="104" t="s">
        <v>546</v>
      </c>
      <c r="B128" s="105" t="s">
        <v>205</v>
      </c>
      <c r="C128" s="105" t="s">
        <v>432</v>
      </c>
      <c r="D128" s="106">
        <v>42835</v>
      </c>
      <c r="E128" s="106">
        <v>42914</v>
      </c>
      <c r="F128" s="105" t="s">
        <v>601</v>
      </c>
      <c r="G128" s="84">
        <v>5</v>
      </c>
      <c r="H128" s="85">
        <v>5</v>
      </c>
      <c r="I128" s="86">
        <v>125</v>
      </c>
    </row>
    <row r="129" spans="1:9" x14ac:dyDescent="0.25">
      <c r="A129" s="104" t="s">
        <v>570</v>
      </c>
      <c r="B129" s="105" t="s">
        <v>205</v>
      </c>
      <c r="C129" s="105" t="s">
        <v>437</v>
      </c>
      <c r="D129" s="106">
        <v>42835</v>
      </c>
      <c r="E129" s="106">
        <v>42892</v>
      </c>
      <c r="F129" s="105" t="s">
        <v>601</v>
      </c>
      <c r="G129" s="84">
        <v>30</v>
      </c>
      <c r="H129" s="85">
        <v>30</v>
      </c>
      <c r="I129" s="86">
        <v>1281.8999999999999</v>
      </c>
    </row>
    <row r="130" spans="1:9" x14ac:dyDescent="0.25">
      <c r="A130" s="104" t="s">
        <v>548</v>
      </c>
      <c r="B130" s="105" t="s">
        <v>205</v>
      </c>
      <c r="C130" s="105" t="s">
        <v>437</v>
      </c>
      <c r="D130" s="106">
        <v>42835</v>
      </c>
      <c r="E130" s="106">
        <v>42892</v>
      </c>
      <c r="F130" s="105" t="s">
        <v>601</v>
      </c>
      <c r="G130" s="84">
        <v>32</v>
      </c>
      <c r="H130" s="85">
        <v>32</v>
      </c>
      <c r="I130" s="86">
        <v>692.8</v>
      </c>
    </row>
    <row r="131" spans="1:9" x14ac:dyDescent="0.25">
      <c r="A131" s="104" t="s">
        <v>557</v>
      </c>
      <c r="B131" s="105" t="s">
        <v>205</v>
      </c>
      <c r="C131" s="105" t="s">
        <v>437</v>
      </c>
      <c r="D131" s="106">
        <v>42835</v>
      </c>
      <c r="E131" s="106">
        <v>42892</v>
      </c>
      <c r="F131" s="105" t="s">
        <v>601</v>
      </c>
      <c r="G131" s="84">
        <v>20</v>
      </c>
      <c r="H131" s="85">
        <v>20</v>
      </c>
      <c r="I131" s="86">
        <v>130</v>
      </c>
    </row>
    <row r="132" spans="1:9" ht="30" x14ac:dyDescent="0.25">
      <c r="A132" s="104" t="s">
        <v>559</v>
      </c>
      <c r="B132" s="105" t="s">
        <v>205</v>
      </c>
      <c r="C132" s="105" t="s">
        <v>431</v>
      </c>
      <c r="D132" s="106">
        <v>42835</v>
      </c>
      <c r="E132" s="106">
        <v>43031</v>
      </c>
      <c r="F132" s="105" t="s">
        <v>601</v>
      </c>
      <c r="G132" s="84">
        <v>1</v>
      </c>
      <c r="H132" s="85">
        <v>1</v>
      </c>
      <c r="I132" s="86">
        <v>69.14</v>
      </c>
    </row>
    <row r="133" spans="1:9" x14ac:dyDescent="0.25">
      <c r="A133" s="104" t="s">
        <v>368</v>
      </c>
      <c r="B133" s="105" t="s">
        <v>205</v>
      </c>
      <c r="C133" s="105" t="s">
        <v>593</v>
      </c>
      <c r="D133" s="106">
        <v>42577</v>
      </c>
      <c r="E133" s="106">
        <v>42933</v>
      </c>
      <c r="F133" s="105" t="s">
        <v>601</v>
      </c>
      <c r="G133" s="84">
        <v>10</v>
      </c>
      <c r="H133" s="85">
        <v>10</v>
      </c>
      <c r="I133" s="86">
        <v>150</v>
      </c>
    </row>
    <row r="134" spans="1:9" x14ac:dyDescent="0.25">
      <c r="A134" s="104" t="s">
        <v>369</v>
      </c>
      <c r="B134" s="105" t="s">
        <v>205</v>
      </c>
      <c r="C134" s="105" t="s">
        <v>593</v>
      </c>
      <c r="D134" s="106">
        <v>42577</v>
      </c>
      <c r="E134" s="106">
        <v>42933</v>
      </c>
      <c r="F134" s="105" t="s">
        <v>601</v>
      </c>
      <c r="G134" s="84">
        <v>16</v>
      </c>
      <c r="H134" s="85">
        <v>16</v>
      </c>
      <c r="I134" s="86">
        <v>192</v>
      </c>
    </row>
    <row r="135" spans="1:9" x14ac:dyDescent="0.25">
      <c r="A135" s="104" t="s">
        <v>541</v>
      </c>
      <c r="B135" s="105" t="s">
        <v>205</v>
      </c>
      <c r="C135" s="105" t="s">
        <v>436</v>
      </c>
      <c r="D135" s="106">
        <v>42835</v>
      </c>
      <c r="E135" s="106">
        <v>42898</v>
      </c>
      <c r="F135" s="105" t="s">
        <v>601</v>
      </c>
      <c r="G135" s="84">
        <v>50</v>
      </c>
      <c r="H135" s="85">
        <v>50</v>
      </c>
      <c r="I135" s="86">
        <v>91</v>
      </c>
    </row>
    <row r="136" spans="1:9" x14ac:dyDescent="0.25">
      <c r="A136" s="104" t="s">
        <v>542</v>
      </c>
      <c r="B136" s="105" t="s">
        <v>205</v>
      </c>
      <c r="C136" s="105" t="s">
        <v>436</v>
      </c>
      <c r="D136" s="106">
        <v>42835</v>
      </c>
      <c r="E136" s="106">
        <v>42898</v>
      </c>
      <c r="F136" s="105" t="s">
        <v>601</v>
      </c>
      <c r="G136" s="84">
        <v>30</v>
      </c>
      <c r="H136" s="85">
        <v>30</v>
      </c>
      <c r="I136" s="86">
        <v>118.5</v>
      </c>
    </row>
    <row r="137" spans="1:9" ht="75" x14ac:dyDescent="0.25">
      <c r="A137" s="104" t="s">
        <v>543</v>
      </c>
      <c r="B137" s="105" t="s">
        <v>205</v>
      </c>
      <c r="C137" s="105" t="s">
        <v>436</v>
      </c>
      <c r="D137" s="106">
        <v>42835</v>
      </c>
      <c r="E137" s="106">
        <v>42898</v>
      </c>
      <c r="F137" s="105" t="s">
        <v>645</v>
      </c>
      <c r="G137" s="84">
        <v>100</v>
      </c>
      <c r="H137" s="85">
        <v>65</v>
      </c>
      <c r="I137" s="86">
        <v>108.55</v>
      </c>
    </row>
    <row r="138" spans="1:9" x14ac:dyDescent="0.25">
      <c r="A138" s="104" t="s">
        <v>544</v>
      </c>
      <c r="B138" s="105" t="s">
        <v>205</v>
      </c>
      <c r="C138" s="105" t="s">
        <v>436</v>
      </c>
      <c r="D138" s="106">
        <v>42835</v>
      </c>
      <c r="E138" s="106">
        <v>42898</v>
      </c>
      <c r="F138" s="105" t="s">
        <v>601</v>
      </c>
      <c r="G138" s="84">
        <v>100</v>
      </c>
      <c r="H138" s="85">
        <v>100</v>
      </c>
      <c r="I138" s="86">
        <v>229</v>
      </c>
    </row>
    <row r="139" spans="1:9" ht="45" x14ac:dyDescent="0.25">
      <c r="A139" s="104" t="s">
        <v>569</v>
      </c>
      <c r="B139" s="105" t="s">
        <v>205</v>
      </c>
      <c r="C139" s="105" t="s">
        <v>437</v>
      </c>
      <c r="D139" s="106">
        <v>42835</v>
      </c>
      <c r="E139" s="106">
        <v>42892</v>
      </c>
      <c r="F139" s="105" t="s">
        <v>601</v>
      </c>
      <c r="G139" s="84">
        <v>20</v>
      </c>
      <c r="H139" s="85">
        <v>20</v>
      </c>
      <c r="I139" s="86">
        <v>668</v>
      </c>
    </row>
    <row r="140" spans="1:9" ht="45" x14ac:dyDescent="0.25">
      <c r="A140" s="104" t="s">
        <v>545</v>
      </c>
      <c r="B140" s="105" t="s">
        <v>205</v>
      </c>
      <c r="C140" s="105" t="s">
        <v>437</v>
      </c>
      <c r="D140" s="106">
        <v>42835</v>
      </c>
      <c r="E140" s="106">
        <v>42892</v>
      </c>
      <c r="F140" s="105" t="s">
        <v>627</v>
      </c>
      <c r="G140" s="84">
        <v>50</v>
      </c>
      <c r="H140" s="85">
        <v>30</v>
      </c>
      <c r="I140" s="86">
        <v>125.1</v>
      </c>
    </row>
    <row r="141" spans="1:9" x14ac:dyDescent="0.25">
      <c r="A141" s="104" t="s">
        <v>554</v>
      </c>
      <c r="B141" s="105" t="s">
        <v>205</v>
      </c>
      <c r="C141" s="105" t="s">
        <v>437</v>
      </c>
      <c r="D141" s="106">
        <v>42835</v>
      </c>
      <c r="E141" s="106">
        <v>42892</v>
      </c>
      <c r="F141" s="105" t="s">
        <v>601</v>
      </c>
      <c r="G141" s="84">
        <v>10</v>
      </c>
      <c r="H141" s="85">
        <v>10</v>
      </c>
      <c r="I141" s="86">
        <v>39.900000000000006</v>
      </c>
    </row>
    <row r="142" spans="1:9" x14ac:dyDescent="0.25">
      <c r="A142" s="104" t="s">
        <v>551</v>
      </c>
      <c r="B142" s="105" t="s">
        <v>205</v>
      </c>
      <c r="C142" s="105" t="s">
        <v>437</v>
      </c>
      <c r="D142" s="106">
        <v>42835</v>
      </c>
      <c r="E142" s="106">
        <v>42892</v>
      </c>
      <c r="F142" s="105" t="s">
        <v>601</v>
      </c>
      <c r="G142" s="84">
        <v>50</v>
      </c>
      <c r="H142" s="85">
        <v>50</v>
      </c>
      <c r="I142" s="86">
        <v>220.5</v>
      </c>
    </row>
    <row r="143" spans="1:9" x14ac:dyDescent="0.25">
      <c r="A143" s="104" t="s">
        <v>552</v>
      </c>
      <c r="B143" s="105" t="s">
        <v>205</v>
      </c>
      <c r="C143" s="105" t="s">
        <v>437</v>
      </c>
      <c r="D143" s="106">
        <v>42835</v>
      </c>
      <c r="E143" s="106">
        <v>42892</v>
      </c>
      <c r="F143" s="105" t="s">
        <v>601</v>
      </c>
      <c r="G143" s="84">
        <v>50</v>
      </c>
      <c r="H143" s="85">
        <v>50</v>
      </c>
      <c r="I143" s="86">
        <v>216</v>
      </c>
    </row>
    <row r="144" spans="1:9" ht="45.75" thickBot="1" x14ac:dyDescent="0.3">
      <c r="A144" s="104" t="s">
        <v>558</v>
      </c>
      <c r="B144" s="105" t="s">
        <v>205</v>
      </c>
      <c r="C144" s="105" t="s">
        <v>431</v>
      </c>
      <c r="D144" s="106">
        <v>42835</v>
      </c>
      <c r="E144" s="106">
        <v>43031</v>
      </c>
      <c r="F144" s="105" t="s">
        <v>601</v>
      </c>
      <c r="G144" s="84">
        <v>10</v>
      </c>
      <c r="H144" s="85">
        <v>10</v>
      </c>
      <c r="I144" s="86">
        <v>49.3</v>
      </c>
    </row>
    <row r="145" spans="1:9" ht="16.5" thickTop="1" thickBot="1" x14ac:dyDescent="0.3">
      <c r="A145" s="107" t="s">
        <v>199</v>
      </c>
      <c r="B145" s="108"/>
      <c r="C145" s="108"/>
      <c r="D145" s="108"/>
      <c r="E145" s="108"/>
      <c r="F145" s="109"/>
      <c r="G145" s="88">
        <v>7382</v>
      </c>
      <c r="H145" s="96">
        <v>5430</v>
      </c>
      <c r="I145" s="89">
        <v>111431.61</v>
      </c>
    </row>
    <row r="146" spans="1:9" ht="15.75" thickTop="1" x14ac:dyDescent="0.25">
      <c r="B146"/>
      <c r="C146"/>
      <c r="D146"/>
      <c r="E146"/>
    </row>
    <row r="147" spans="1:9" x14ac:dyDescent="0.25">
      <c r="B147"/>
      <c r="C147"/>
      <c r="D147"/>
      <c r="E147"/>
    </row>
    <row r="148" spans="1:9" x14ac:dyDescent="0.25">
      <c r="B148"/>
      <c r="C148"/>
      <c r="D148"/>
      <c r="E148"/>
    </row>
    <row r="149" spans="1:9" x14ac:dyDescent="0.25">
      <c r="B149"/>
      <c r="C149"/>
      <c r="D149"/>
      <c r="E149"/>
    </row>
    <row r="150" spans="1:9" x14ac:dyDescent="0.25">
      <c r="B150"/>
      <c r="C150"/>
      <c r="D150"/>
      <c r="E150"/>
    </row>
    <row r="151" spans="1:9" x14ac:dyDescent="0.25">
      <c r="B151"/>
      <c r="C151"/>
      <c r="D151"/>
      <c r="E151"/>
    </row>
    <row r="152" spans="1:9" x14ac:dyDescent="0.25">
      <c r="B152"/>
      <c r="C152"/>
      <c r="D152"/>
      <c r="E152"/>
    </row>
    <row r="153" spans="1:9" x14ac:dyDescent="0.25">
      <c r="B153"/>
      <c r="C153"/>
      <c r="D153"/>
      <c r="E153"/>
    </row>
    <row r="154" spans="1:9" x14ac:dyDescent="0.25">
      <c r="B154"/>
      <c r="C154"/>
      <c r="D154"/>
      <c r="E154"/>
    </row>
    <row r="155" spans="1:9" x14ac:dyDescent="0.25">
      <c r="B155"/>
      <c r="C155"/>
      <c r="D155"/>
      <c r="E155"/>
    </row>
    <row r="156" spans="1:9" x14ac:dyDescent="0.25">
      <c r="B156"/>
      <c r="C156"/>
      <c r="D156"/>
      <c r="E156"/>
    </row>
    <row r="157" spans="1:9" x14ac:dyDescent="0.25">
      <c r="B157"/>
      <c r="C157"/>
      <c r="D157"/>
      <c r="E157"/>
    </row>
    <row r="158" spans="1:9" x14ac:dyDescent="0.25">
      <c r="B158"/>
      <c r="C158"/>
      <c r="D158"/>
      <c r="E158"/>
    </row>
    <row r="159" spans="1:9" x14ac:dyDescent="0.25">
      <c r="B159"/>
      <c r="C159"/>
      <c r="D159"/>
      <c r="E159"/>
    </row>
    <row r="160" spans="1:9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bIMgmg6C0P3M8mhHcWR+jhrF0VUC7ZBvH0tK9oKcOU1JB66vF2psKe8hHocsYaVuwaSpRVkOpT7clIanIMuK/A==" saltValue="7WVm/CiTKDBw+19RPKWjE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576</v>
      </c>
      <c r="B1" s="78"/>
      <c r="G1" s="217"/>
    </row>
    <row r="2" spans="1:12" ht="16.5" thickTop="1" thickBot="1" x14ac:dyDescent="0.3">
      <c r="A2" s="133" t="s">
        <v>3</v>
      </c>
      <c r="B2" s="111">
        <v>280100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549</v>
      </c>
      <c r="B5" s="105">
        <v>445</v>
      </c>
      <c r="C5" s="105" t="s">
        <v>590</v>
      </c>
      <c r="D5" s="106">
        <v>42577</v>
      </c>
      <c r="E5" s="106">
        <v>42954</v>
      </c>
      <c r="F5" s="105" t="s">
        <v>601</v>
      </c>
      <c r="G5" s="80">
        <v>1</v>
      </c>
      <c r="H5" s="81">
        <v>1</v>
      </c>
      <c r="I5" s="82">
        <v>34.19</v>
      </c>
      <c r="J5"/>
      <c r="L5"/>
    </row>
    <row r="6" spans="1:12" s="83" customFormat="1" ht="30" x14ac:dyDescent="0.25">
      <c r="A6" s="104" t="s">
        <v>236</v>
      </c>
      <c r="B6" s="105">
        <v>445</v>
      </c>
      <c r="C6" s="105" t="s">
        <v>597</v>
      </c>
      <c r="D6" s="106">
        <v>42577</v>
      </c>
      <c r="E6" s="106">
        <v>42926</v>
      </c>
      <c r="F6" s="105" t="s">
        <v>601</v>
      </c>
      <c r="G6" s="84">
        <v>1</v>
      </c>
      <c r="H6" s="85">
        <v>1</v>
      </c>
      <c r="I6" s="86">
        <v>120</v>
      </c>
      <c r="K6"/>
    </row>
    <row r="7" spans="1:12" s="83" customFormat="1" ht="45" x14ac:dyDescent="0.25">
      <c r="A7" s="104" t="s">
        <v>546</v>
      </c>
      <c r="B7" s="105">
        <v>445</v>
      </c>
      <c r="C7" s="105" t="s">
        <v>594</v>
      </c>
      <c r="D7" s="106">
        <v>42577</v>
      </c>
      <c r="E7" s="106">
        <v>42934</v>
      </c>
      <c r="F7" s="105" t="s">
        <v>601</v>
      </c>
      <c r="G7" s="84">
        <v>1</v>
      </c>
      <c r="H7" s="85">
        <v>1</v>
      </c>
      <c r="I7" s="86">
        <v>25</v>
      </c>
    </row>
    <row r="8" spans="1:12" s="87" customFormat="1" x14ac:dyDescent="0.25">
      <c r="A8" s="104" t="s">
        <v>547</v>
      </c>
      <c r="B8" s="105">
        <v>445</v>
      </c>
      <c r="C8" s="105" t="s">
        <v>596</v>
      </c>
      <c r="D8" s="106">
        <v>42577</v>
      </c>
      <c r="E8" s="106">
        <v>42970</v>
      </c>
      <c r="F8" s="105" t="s">
        <v>601</v>
      </c>
      <c r="G8" s="84">
        <v>1</v>
      </c>
      <c r="H8" s="85">
        <v>1</v>
      </c>
      <c r="I8" s="86">
        <v>88.53</v>
      </c>
    </row>
    <row r="9" spans="1:12" s="87" customFormat="1" x14ac:dyDescent="0.25">
      <c r="A9" s="104" t="s">
        <v>548</v>
      </c>
      <c r="B9" s="105">
        <v>445</v>
      </c>
      <c r="C9" s="105" t="s">
        <v>596</v>
      </c>
      <c r="D9" s="106">
        <v>42577</v>
      </c>
      <c r="E9" s="106">
        <v>42970</v>
      </c>
      <c r="F9" s="105" t="s">
        <v>601</v>
      </c>
      <c r="G9" s="84">
        <v>2</v>
      </c>
      <c r="H9" s="85">
        <v>2</v>
      </c>
      <c r="I9" s="86">
        <v>43.3</v>
      </c>
    </row>
    <row r="10" spans="1:12" s="90" customFormat="1" ht="30" x14ac:dyDescent="0.25">
      <c r="A10" s="104" t="s">
        <v>559</v>
      </c>
      <c r="B10" s="105">
        <v>445</v>
      </c>
      <c r="C10" s="105" t="s">
        <v>591</v>
      </c>
      <c r="D10" s="106">
        <v>42577</v>
      </c>
      <c r="E10" s="106">
        <v>42940</v>
      </c>
      <c r="F10" s="105" t="s">
        <v>601</v>
      </c>
      <c r="G10" s="84">
        <v>3</v>
      </c>
      <c r="H10" s="85">
        <v>3</v>
      </c>
      <c r="I10" s="86">
        <v>207.42000000000002</v>
      </c>
    </row>
    <row r="11" spans="1:12" x14ac:dyDescent="0.25">
      <c r="A11" s="104" t="s">
        <v>368</v>
      </c>
      <c r="B11" s="105">
        <v>445</v>
      </c>
      <c r="C11" s="105" t="s">
        <v>593</v>
      </c>
      <c r="D11" s="106">
        <v>42577</v>
      </c>
      <c r="E11" s="106">
        <v>42933</v>
      </c>
      <c r="F11" s="105" t="s">
        <v>601</v>
      </c>
      <c r="G11" s="84">
        <v>2</v>
      </c>
      <c r="H11" s="85">
        <v>2</v>
      </c>
      <c r="I11" s="86">
        <v>30</v>
      </c>
    </row>
    <row r="12" spans="1:12" x14ac:dyDescent="0.25">
      <c r="A12" s="104" t="s">
        <v>369</v>
      </c>
      <c r="B12" s="105">
        <v>445</v>
      </c>
      <c r="C12" s="105" t="s">
        <v>593</v>
      </c>
      <c r="D12" s="106">
        <v>42577</v>
      </c>
      <c r="E12" s="106">
        <v>42933</v>
      </c>
      <c r="F12" s="105" t="s">
        <v>601</v>
      </c>
      <c r="G12" s="84">
        <v>2</v>
      </c>
      <c r="H12" s="85">
        <v>2</v>
      </c>
      <c r="I12" s="86">
        <v>24</v>
      </c>
    </row>
    <row r="13" spans="1:12" x14ac:dyDescent="0.25">
      <c r="A13" s="104" t="s">
        <v>542</v>
      </c>
      <c r="B13" s="105">
        <v>445</v>
      </c>
      <c r="C13" s="105" t="s">
        <v>600</v>
      </c>
      <c r="D13" s="106">
        <v>42577</v>
      </c>
      <c r="E13" s="106">
        <v>42933</v>
      </c>
      <c r="F13" s="105" t="s">
        <v>601</v>
      </c>
      <c r="G13" s="84">
        <v>1</v>
      </c>
      <c r="H13" s="85">
        <v>1</v>
      </c>
      <c r="I13" s="86">
        <v>3.95</v>
      </c>
    </row>
    <row r="14" spans="1:12" x14ac:dyDescent="0.25">
      <c r="A14" s="104" t="s">
        <v>553</v>
      </c>
      <c r="B14" s="105">
        <v>445</v>
      </c>
      <c r="C14" s="105" t="s">
        <v>600</v>
      </c>
      <c r="D14" s="106">
        <v>42577</v>
      </c>
      <c r="E14" s="106">
        <v>42933</v>
      </c>
      <c r="F14" s="105" t="s">
        <v>601</v>
      </c>
      <c r="G14" s="84">
        <v>1</v>
      </c>
      <c r="H14" s="85">
        <v>1</v>
      </c>
      <c r="I14" s="86">
        <v>2.17</v>
      </c>
    </row>
    <row r="15" spans="1:12" ht="45" x14ac:dyDescent="0.25">
      <c r="A15" s="104" t="s">
        <v>569</v>
      </c>
      <c r="B15" s="105">
        <v>445</v>
      </c>
      <c r="C15" s="105" t="s">
        <v>596</v>
      </c>
      <c r="D15" s="106">
        <v>42577</v>
      </c>
      <c r="E15" s="106">
        <v>42970</v>
      </c>
      <c r="F15" s="105" t="s">
        <v>601</v>
      </c>
      <c r="G15" s="84">
        <v>1</v>
      </c>
      <c r="H15" s="85">
        <v>1</v>
      </c>
      <c r="I15" s="86">
        <v>33.4</v>
      </c>
    </row>
    <row r="16" spans="1:12" x14ac:dyDescent="0.25">
      <c r="A16" s="104" t="s">
        <v>550</v>
      </c>
      <c r="B16" s="105">
        <v>445</v>
      </c>
      <c r="C16" s="105" t="s">
        <v>205</v>
      </c>
      <c r="D16" s="106">
        <v>42577</v>
      </c>
      <c r="E16" s="105" t="s">
        <v>205</v>
      </c>
      <c r="F16" s="105" t="s">
        <v>205</v>
      </c>
      <c r="G16" s="84">
        <v>1</v>
      </c>
      <c r="H16" s="85"/>
      <c r="I16" s="86"/>
    </row>
    <row r="17" spans="1:9" x14ac:dyDescent="0.25">
      <c r="A17" s="104" t="s">
        <v>552</v>
      </c>
      <c r="B17" s="105">
        <v>445</v>
      </c>
      <c r="C17" s="105" t="s">
        <v>596</v>
      </c>
      <c r="D17" s="106">
        <v>42577</v>
      </c>
      <c r="E17" s="106">
        <v>42970</v>
      </c>
      <c r="F17" s="105" t="s">
        <v>601</v>
      </c>
      <c r="G17" s="84">
        <v>6</v>
      </c>
      <c r="H17" s="85">
        <v>6</v>
      </c>
      <c r="I17" s="86">
        <v>25.92</v>
      </c>
    </row>
    <row r="18" spans="1:9" ht="30.75" thickBot="1" x14ac:dyDescent="0.3">
      <c r="A18" s="104" t="s">
        <v>561</v>
      </c>
      <c r="B18" s="105">
        <v>445</v>
      </c>
      <c r="C18" s="105" t="s">
        <v>591</v>
      </c>
      <c r="D18" s="106">
        <v>42577</v>
      </c>
      <c r="E18" s="106">
        <v>42940</v>
      </c>
      <c r="F18" s="105" t="s">
        <v>601</v>
      </c>
      <c r="G18" s="84">
        <v>400</v>
      </c>
      <c r="H18" s="85">
        <v>400</v>
      </c>
      <c r="I18" s="86">
        <v>200</v>
      </c>
    </row>
    <row r="19" spans="1:9" ht="16.5" thickTop="1" thickBot="1" x14ac:dyDescent="0.3">
      <c r="A19" s="107" t="s">
        <v>199</v>
      </c>
      <c r="B19" s="108"/>
      <c r="C19" s="108"/>
      <c r="D19" s="108"/>
      <c r="E19" s="108"/>
      <c r="F19" s="109"/>
      <c r="G19" s="88">
        <v>423</v>
      </c>
      <c r="H19" s="96">
        <v>422</v>
      </c>
      <c r="I19" s="89">
        <v>837.88</v>
      </c>
    </row>
    <row r="20" spans="1:9" ht="15.75" thickTop="1" x14ac:dyDescent="0.25">
      <c r="B20"/>
      <c r="C20"/>
      <c r="D20"/>
      <c r="E20"/>
    </row>
    <row r="21" spans="1:9" x14ac:dyDescent="0.25">
      <c r="B21"/>
      <c r="C21"/>
      <c r="D21"/>
      <c r="E21"/>
    </row>
    <row r="22" spans="1:9" x14ac:dyDescent="0.25">
      <c r="B22"/>
      <c r="C22"/>
      <c r="D22"/>
      <c r="E22"/>
    </row>
    <row r="23" spans="1:9" x14ac:dyDescent="0.25">
      <c r="B23"/>
      <c r="C23"/>
      <c r="D23"/>
      <c r="E23"/>
    </row>
    <row r="24" spans="1:9" x14ac:dyDescent="0.25">
      <c r="B24"/>
      <c r="C24"/>
      <c r="D24"/>
      <c r="E24"/>
    </row>
    <row r="25" spans="1:9" x14ac:dyDescent="0.25">
      <c r="B25"/>
      <c r="C25"/>
      <c r="D25"/>
      <c r="E25"/>
    </row>
    <row r="26" spans="1:9" x14ac:dyDescent="0.25">
      <c r="B26"/>
      <c r="C26"/>
      <c r="D26"/>
      <c r="E26"/>
    </row>
    <row r="27" spans="1:9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ht="15.75" thickBot="1" x14ac:dyDescent="0.3">
      <c r="B102"/>
      <c r="C102"/>
      <c r="D102"/>
      <c r="E102"/>
    </row>
    <row r="103" spans="2:5" ht="16.5" thickTop="1" thickBot="1" x14ac:dyDescent="0.3">
      <c r="B103"/>
      <c r="C103"/>
      <c r="D103"/>
      <c r="E103"/>
    </row>
    <row r="104" spans="2:5" ht="15.75" thickTop="1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dwyX7UzScPlpouE+Xu4BnuNwCXferoXgpNjk+IhrJRUfajSX42hjqEGhsw3ivdIWTvBcmgLEQd2EaWRSWVVc3A==" saltValue="0EPUGrf77p0ZXDfPA17jJ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421</v>
      </c>
      <c r="B1" s="78"/>
      <c r="G1" s="217"/>
    </row>
    <row r="2" spans="1:12" ht="16.5" thickTop="1" thickBot="1" x14ac:dyDescent="0.3">
      <c r="A2" s="133" t="s">
        <v>3</v>
      </c>
      <c r="B2" s="111">
        <v>280200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45.75" thickTop="1" x14ac:dyDescent="0.25">
      <c r="A5" s="104" t="s">
        <v>546</v>
      </c>
      <c r="B5" s="105" t="s">
        <v>205</v>
      </c>
      <c r="C5" s="105" t="s">
        <v>432</v>
      </c>
      <c r="D5" s="106">
        <v>42835</v>
      </c>
      <c r="E5" s="106">
        <v>42914</v>
      </c>
      <c r="F5" s="105" t="s">
        <v>601</v>
      </c>
      <c r="G5" s="80">
        <v>2</v>
      </c>
      <c r="H5" s="81">
        <v>2</v>
      </c>
      <c r="I5" s="82">
        <v>50</v>
      </c>
      <c r="J5"/>
      <c r="L5"/>
    </row>
    <row r="6" spans="1:12" s="83" customFormat="1" ht="30.75" thickBot="1" x14ac:dyDescent="0.3">
      <c r="A6" s="104" t="s">
        <v>560</v>
      </c>
      <c r="B6" s="105" t="s">
        <v>205</v>
      </c>
      <c r="C6" s="105" t="s">
        <v>434</v>
      </c>
      <c r="D6" s="106">
        <v>42835</v>
      </c>
      <c r="E6" s="105" t="s">
        <v>625</v>
      </c>
      <c r="F6" s="105" t="s">
        <v>646</v>
      </c>
      <c r="G6" s="84">
        <v>20</v>
      </c>
      <c r="H6" s="85">
        <v>20</v>
      </c>
      <c r="I6" s="86">
        <v>64</v>
      </c>
      <c r="K6"/>
    </row>
    <row r="7" spans="1:12" s="83" customFormat="1" ht="16.5" thickTop="1" thickBot="1" x14ac:dyDescent="0.3">
      <c r="A7" s="107" t="s">
        <v>199</v>
      </c>
      <c r="B7" s="108"/>
      <c r="C7" s="108"/>
      <c r="D7" s="108"/>
      <c r="E7" s="108"/>
      <c r="F7" s="109"/>
      <c r="G7" s="88">
        <v>22</v>
      </c>
      <c r="H7" s="96">
        <v>22</v>
      </c>
      <c r="I7" s="89">
        <v>114</v>
      </c>
    </row>
    <row r="8" spans="1:12" s="87" customFormat="1" ht="15.75" thickTop="1" x14ac:dyDescent="0.25">
      <c r="A8"/>
      <c r="B8"/>
      <c r="C8"/>
      <c r="D8"/>
      <c r="E8"/>
      <c r="F8"/>
      <c r="G8"/>
      <c r="H8"/>
      <c r="I8"/>
    </row>
    <row r="9" spans="1:12" s="87" customFormat="1" x14ac:dyDescent="0.25">
      <c r="A9"/>
      <c r="B9"/>
      <c r="C9"/>
      <c r="D9"/>
      <c r="E9"/>
      <c r="F9"/>
      <c r="G9"/>
      <c r="H9"/>
      <c r="I9"/>
    </row>
    <row r="10" spans="1:12" s="90" customFormat="1" x14ac:dyDescent="0.25">
      <c r="A10"/>
      <c r="B10"/>
      <c r="C10"/>
      <c r="D10"/>
      <c r="E10"/>
      <c r="F10"/>
      <c r="G10"/>
      <c r="H10"/>
      <c r="I10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ht="15.75" thickBot="1" x14ac:dyDescent="0.3">
      <c r="B72"/>
      <c r="C72"/>
      <c r="D72"/>
      <c r="E72"/>
    </row>
    <row r="73" spans="2:5" ht="16.5" thickTop="1" thickBot="1" x14ac:dyDescent="0.3">
      <c r="B73"/>
      <c r="C73"/>
      <c r="D73"/>
      <c r="E73"/>
    </row>
    <row r="74" spans="2:5" ht="15.75" thickTop="1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ktqJ6+nHmuWz+C2aS1Xz+MLltcwm+04uKcLTNEHHKkUN0OlMm7JiisNkKyrtETwWd6y6OXRFpz6/SdktRF2gxg==" saltValue="xx3BjPGYNPFhZOMPYlt7c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407</v>
      </c>
      <c r="B1" s="78"/>
      <c r="G1" s="217"/>
    </row>
    <row r="2" spans="1:12" ht="16.5" thickTop="1" thickBot="1" x14ac:dyDescent="0.3">
      <c r="A2" s="133" t="s">
        <v>3</v>
      </c>
      <c r="B2" s="111">
        <v>280300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443</v>
      </c>
      <c r="B5" s="105" t="s">
        <v>205</v>
      </c>
      <c r="C5" s="105" t="s">
        <v>416</v>
      </c>
      <c r="D5" s="106">
        <v>42759</v>
      </c>
      <c r="E5" s="106">
        <v>42838</v>
      </c>
      <c r="F5" s="105" t="s">
        <v>601</v>
      </c>
      <c r="G5" s="80">
        <v>16</v>
      </c>
      <c r="H5" s="81">
        <v>16</v>
      </c>
      <c r="I5" s="82">
        <v>157.6</v>
      </c>
      <c r="J5"/>
      <c r="L5"/>
    </row>
    <row r="6" spans="1:12" s="83" customFormat="1" ht="30" x14ac:dyDescent="0.25">
      <c r="A6" s="104" t="s">
        <v>511</v>
      </c>
      <c r="B6" s="105" t="s">
        <v>205</v>
      </c>
      <c r="C6" s="105" t="s">
        <v>416</v>
      </c>
      <c r="D6" s="106">
        <v>42759</v>
      </c>
      <c r="E6" s="106">
        <v>42838</v>
      </c>
      <c r="F6" s="105" t="s">
        <v>601</v>
      </c>
      <c r="G6" s="84">
        <v>5</v>
      </c>
      <c r="H6" s="85">
        <v>5</v>
      </c>
      <c r="I6" s="86">
        <v>79.850000000000009</v>
      </c>
      <c r="K6"/>
    </row>
    <row r="7" spans="1:12" s="83" customFormat="1" x14ac:dyDescent="0.25">
      <c r="A7" s="104" t="s">
        <v>498</v>
      </c>
      <c r="B7" s="105" t="s">
        <v>205</v>
      </c>
      <c r="C7" s="105" t="s">
        <v>416</v>
      </c>
      <c r="D7" s="106">
        <v>42759</v>
      </c>
      <c r="E7" s="106">
        <v>42838</v>
      </c>
      <c r="F7" s="105" t="s">
        <v>601</v>
      </c>
      <c r="G7" s="84">
        <v>4</v>
      </c>
      <c r="H7" s="85">
        <v>4</v>
      </c>
      <c r="I7" s="86">
        <v>43.84</v>
      </c>
    </row>
    <row r="8" spans="1:12" s="87" customFormat="1" ht="30" x14ac:dyDescent="0.25">
      <c r="A8" s="104" t="s">
        <v>452</v>
      </c>
      <c r="B8" s="105" t="s">
        <v>205</v>
      </c>
      <c r="C8" s="105" t="s">
        <v>412</v>
      </c>
      <c r="D8" s="106">
        <v>42759</v>
      </c>
      <c r="E8" s="106">
        <v>42913</v>
      </c>
      <c r="F8" s="105" t="s">
        <v>601</v>
      </c>
      <c r="G8" s="84">
        <v>2</v>
      </c>
      <c r="H8" s="85">
        <v>2</v>
      </c>
      <c r="I8" s="86">
        <v>409.98</v>
      </c>
    </row>
    <row r="9" spans="1:12" s="87" customFormat="1" ht="75" x14ac:dyDescent="0.25">
      <c r="A9" s="104" t="s">
        <v>515</v>
      </c>
      <c r="B9" s="105" t="s">
        <v>205</v>
      </c>
      <c r="C9" s="105" t="s">
        <v>416</v>
      </c>
      <c r="D9" s="106">
        <v>42759</v>
      </c>
      <c r="E9" s="106">
        <v>42838</v>
      </c>
      <c r="F9" s="105" t="s">
        <v>615</v>
      </c>
      <c r="G9" s="84">
        <v>30</v>
      </c>
      <c r="H9" s="85">
        <v>15</v>
      </c>
      <c r="I9" s="86">
        <v>11.850000000000001</v>
      </c>
    </row>
    <row r="10" spans="1:12" s="90" customFormat="1" ht="30" x14ac:dyDescent="0.25">
      <c r="A10" s="104" t="s">
        <v>445</v>
      </c>
      <c r="B10" s="105" t="s">
        <v>205</v>
      </c>
      <c r="C10" s="105" t="s">
        <v>416</v>
      </c>
      <c r="D10" s="106">
        <v>42759</v>
      </c>
      <c r="E10" s="106">
        <v>42838</v>
      </c>
      <c r="F10" s="105" t="s">
        <v>601</v>
      </c>
      <c r="G10" s="84">
        <v>4</v>
      </c>
      <c r="H10" s="85">
        <v>4</v>
      </c>
      <c r="I10" s="86">
        <v>28.8</v>
      </c>
    </row>
    <row r="11" spans="1:12" ht="45" x14ac:dyDescent="0.25">
      <c r="A11" s="104" t="s">
        <v>454</v>
      </c>
      <c r="B11" s="105" t="s">
        <v>205</v>
      </c>
      <c r="C11" s="105" t="s">
        <v>416</v>
      </c>
      <c r="D11" s="106">
        <v>42759</v>
      </c>
      <c r="E11" s="106">
        <v>42838</v>
      </c>
      <c r="F11" s="105" t="s">
        <v>601</v>
      </c>
      <c r="G11" s="84">
        <v>10</v>
      </c>
      <c r="H11" s="85">
        <v>10</v>
      </c>
      <c r="I11" s="86">
        <v>59.900000000000006</v>
      </c>
    </row>
    <row r="12" spans="1:12" x14ac:dyDescent="0.25">
      <c r="A12" s="104" t="s">
        <v>477</v>
      </c>
      <c r="B12" s="105" t="s">
        <v>205</v>
      </c>
      <c r="C12" s="105" t="s">
        <v>416</v>
      </c>
      <c r="D12" s="106">
        <v>42759</v>
      </c>
      <c r="E12" s="106">
        <v>42838</v>
      </c>
      <c r="F12" s="105" t="s">
        <v>601</v>
      </c>
      <c r="G12" s="84">
        <v>4</v>
      </c>
      <c r="H12" s="85">
        <v>4</v>
      </c>
      <c r="I12" s="86">
        <v>18.04</v>
      </c>
    </row>
    <row r="13" spans="1:12" ht="30" x14ac:dyDescent="0.25">
      <c r="A13" s="104" t="s">
        <v>442</v>
      </c>
      <c r="B13" s="105" t="s">
        <v>205</v>
      </c>
      <c r="C13" s="105" t="s">
        <v>416</v>
      </c>
      <c r="D13" s="106">
        <v>42759</v>
      </c>
      <c r="E13" s="106">
        <v>42838</v>
      </c>
      <c r="F13" s="105" t="s">
        <v>601</v>
      </c>
      <c r="G13" s="84">
        <v>5</v>
      </c>
      <c r="H13" s="85">
        <v>5</v>
      </c>
      <c r="I13" s="86">
        <v>120</v>
      </c>
    </row>
    <row r="14" spans="1:12" ht="30" x14ac:dyDescent="0.25">
      <c r="A14" s="104" t="s">
        <v>525</v>
      </c>
      <c r="B14" s="105" t="s">
        <v>205</v>
      </c>
      <c r="C14" s="105" t="s">
        <v>414</v>
      </c>
      <c r="D14" s="106">
        <v>42759</v>
      </c>
      <c r="E14" s="106">
        <v>42894</v>
      </c>
      <c r="F14" s="105" t="s">
        <v>601</v>
      </c>
      <c r="G14" s="84">
        <v>10</v>
      </c>
      <c r="H14" s="85">
        <v>10</v>
      </c>
      <c r="I14" s="86">
        <v>72.900000000000006</v>
      </c>
    </row>
    <row r="15" spans="1:12" x14ac:dyDescent="0.25">
      <c r="A15" s="104" t="s">
        <v>462</v>
      </c>
      <c r="B15" s="105" t="s">
        <v>205</v>
      </c>
      <c r="C15" s="105" t="s">
        <v>416</v>
      </c>
      <c r="D15" s="106">
        <v>42759</v>
      </c>
      <c r="E15" s="106">
        <v>42838</v>
      </c>
      <c r="F15" s="105" t="s">
        <v>601</v>
      </c>
      <c r="G15" s="84">
        <v>5</v>
      </c>
      <c r="H15" s="85">
        <v>5</v>
      </c>
      <c r="I15" s="86">
        <v>49.5</v>
      </c>
    </row>
    <row r="16" spans="1:12" ht="30" x14ac:dyDescent="0.25">
      <c r="A16" s="104" t="s">
        <v>444</v>
      </c>
      <c r="B16" s="105" t="s">
        <v>205</v>
      </c>
      <c r="C16" s="105" t="s">
        <v>416</v>
      </c>
      <c r="D16" s="106">
        <v>42759</v>
      </c>
      <c r="E16" s="106">
        <v>42838</v>
      </c>
      <c r="F16" s="105" t="s">
        <v>601</v>
      </c>
      <c r="G16" s="84">
        <v>4</v>
      </c>
      <c r="H16" s="85">
        <v>4</v>
      </c>
      <c r="I16" s="86">
        <v>15.96</v>
      </c>
    </row>
    <row r="17" spans="1:9" ht="30" x14ac:dyDescent="0.25">
      <c r="A17" s="104" t="s">
        <v>532</v>
      </c>
      <c r="B17" s="105" t="s">
        <v>205</v>
      </c>
      <c r="C17" s="105" t="s">
        <v>416</v>
      </c>
      <c r="D17" s="106">
        <v>42759</v>
      </c>
      <c r="E17" s="106">
        <v>42838</v>
      </c>
      <c r="F17" s="105" t="s">
        <v>601</v>
      </c>
      <c r="G17" s="84">
        <v>2</v>
      </c>
      <c r="H17" s="85">
        <v>2</v>
      </c>
      <c r="I17" s="86">
        <v>8.4</v>
      </c>
    </row>
    <row r="18" spans="1:9" ht="45" x14ac:dyDescent="0.25">
      <c r="A18" s="104" t="s">
        <v>546</v>
      </c>
      <c r="B18" s="105">
        <v>406</v>
      </c>
      <c r="C18" s="105" t="s">
        <v>594</v>
      </c>
      <c r="D18" s="106">
        <v>42577</v>
      </c>
      <c r="E18" s="106">
        <v>42934</v>
      </c>
      <c r="F18" s="105" t="s">
        <v>601</v>
      </c>
      <c r="G18" s="84">
        <v>1</v>
      </c>
      <c r="H18" s="85">
        <v>1</v>
      </c>
      <c r="I18" s="86">
        <v>25</v>
      </c>
    </row>
    <row r="19" spans="1:9" x14ac:dyDescent="0.25">
      <c r="A19" s="104" t="s">
        <v>548</v>
      </c>
      <c r="B19" s="105">
        <v>406</v>
      </c>
      <c r="C19" s="105" t="s">
        <v>596</v>
      </c>
      <c r="D19" s="106">
        <v>42577</v>
      </c>
      <c r="E19" s="106">
        <v>42970</v>
      </c>
      <c r="F19" s="105" t="s">
        <v>601</v>
      </c>
      <c r="G19" s="84">
        <v>1</v>
      </c>
      <c r="H19" s="85">
        <v>1</v>
      </c>
      <c r="I19" s="86">
        <v>21.65</v>
      </c>
    </row>
    <row r="20" spans="1:9" ht="30" x14ac:dyDescent="0.25">
      <c r="A20" s="104" t="s">
        <v>560</v>
      </c>
      <c r="B20" s="105">
        <v>406</v>
      </c>
      <c r="C20" s="105" t="s">
        <v>598</v>
      </c>
      <c r="D20" s="106">
        <v>42577</v>
      </c>
      <c r="E20" s="105" t="s">
        <v>643</v>
      </c>
      <c r="F20" s="105" t="s">
        <v>647</v>
      </c>
      <c r="G20" s="84">
        <v>1</v>
      </c>
      <c r="H20" s="85">
        <v>1</v>
      </c>
      <c r="I20" s="86">
        <v>3.2</v>
      </c>
    </row>
    <row r="21" spans="1:9" ht="30" x14ac:dyDescent="0.25">
      <c r="A21" s="104" t="s">
        <v>559</v>
      </c>
      <c r="B21" s="105">
        <v>406</v>
      </c>
      <c r="C21" s="105" t="s">
        <v>591</v>
      </c>
      <c r="D21" s="106">
        <v>42577</v>
      </c>
      <c r="E21" s="106">
        <v>42940</v>
      </c>
      <c r="F21" s="105" t="s">
        <v>601</v>
      </c>
      <c r="G21" s="84">
        <v>1</v>
      </c>
      <c r="H21" s="85">
        <v>1</v>
      </c>
      <c r="I21" s="86">
        <v>69.14</v>
      </c>
    </row>
    <row r="22" spans="1:9" x14ac:dyDescent="0.25">
      <c r="A22" s="104" t="s">
        <v>368</v>
      </c>
      <c r="B22" s="105">
        <v>406</v>
      </c>
      <c r="C22" s="105" t="s">
        <v>593</v>
      </c>
      <c r="D22" s="106">
        <v>42577</v>
      </c>
      <c r="E22" s="106">
        <v>42933</v>
      </c>
      <c r="F22" s="105" t="s">
        <v>601</v>
      </c>
      <c r="G22" s="84">
        <v>2</v>
      </c>
      <c r="H22" s="85">
        <v>2</v>
      </c>
      <c r="I22" s="86">
        <v>30</v>
      </c>
    </row>
    <row r="23" spans="1:9" x14ac:dyDescent="0.25">
      <c r="A23" s="104" t="s">
        <v>369</v>
      </c>
      <c r="B23" s="105">
        <v>406</v>
      </c>
      <c r="C23" s="105" t="s">
        <v>593</v>
      </c>
      <c r="D23" s="106">
        <v>42577</v>
      </c>
      <c r="E23" s="106">
        <v>42933</v>
      </c>
      <c r="F23" s="105" t="s">
        <v>601</v>
      </c>
      <c r="G23" s="84">
        <v>2</v>
      </c>
      <c r="H23" s="85">
        <v>2</v>
      </c>
      <c r="I23" s="86">
        <v>24</v>
      </c>
    </row>
    <row r="24" spans="1:9" x14ac:dyDescent="0.25">
      <c r="A24" s="104" t="s">
        <v>550</v>
      </c>
      <c r="B24" s="105">
        <v>406</v>
      </c>
      <c r="C24" s="105" t="s">
        <v>205</v>
      </c>
      <c r="D24" s="106">
        <v>42577</v>
      </c>
      <c r="E24" s="105" t="s">
        <v>205</v>
      </c>
      <c r="F24" s="105" t="s">
        <v>205</v>
      </c>
      <c r="G24" s="84">
        <v>1</v>
      </c>
      <c r="H24" s="85"/>
      <c r="I24" s="86"/>
    </row>
    <row r="25" spans="1:9" ht="45.75" thickBot="1" x14ac:dyDescent="0.3">
      <c r="A25" s="104" t="s">
        <v>558</v>
      </c>
      <c r="B25" s="105">
        <v>406</v>
      </c>
      <c r="C25" s="105" t="s">
        <v>591</v>
      </c>
      <c r="D25" s="106">
        <v>42577</v>
      </c>
      <c r="E25" s="106">
        <v>42940</v>
      </c>
      <c r="F25" s="105" t="s">
        <v>601</v>
      </c>
      <c r="G25" s="84">
        <v>6</v>
      </c>
      <c r="H25" s="85">
        <v>6</v>
      </c>
      <c r="I25" s="86">
        <v>29.58</v>
      </c>
    </row>
    <row r="26" spans="1:9" ht="16.5" thickTop="1" thickBot="1" x14ac:dyDescent="0.3">
      <c r="A26" s="107" t="s">
        <v>199</v>
      </c>
      <c r="B26" s="108"/>
      <c r="C26" s="108"/>
      <c r="D26" s="108"/>
      <c r="E26" s="108"/>
      <c r="F26" s="109"/>
      <c r="G26" s="88">
        <v>116</v>
      </c>
      <c r="H26" s="96">
        <v>100</v>
      </c>
      <c r="I26" s="89">
        <v>1279.19</v>
      </c>
    </row>
    <row r="27" spans="1:9" ht="15.75" thickTop="1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z8wkX1wTnUP9JfR5JGpgBjX7VdqfAoJ1qJ8xBfVU6hUWMcJ5aY8/p/dSOhko2m3NUX33gVzsNIcbQRMn/4jKjg==" saltValue="ZhA+wKd25y4n+ZjRG5c18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75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389</v>
      </c>
      <c r="B1" s="78"/>
      <c r="G1" s="217"/>
    </row>
    <row r="2" spans="1:12" ht="16.5" thickTop="1" thickBot="1" x14ac:dyDescent="0.3">
      <c r="A2" s="133" t="s">
        <v>3</v>
      </c>
      <c r="B2" s="111">
        <v>280400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45.75" thickTop="1" x14ac:dyDescent="0.25">
      <c r="A5" s="104" t="s">
        <v>470</v>
      </c>
      <c r="B5" s="105" t="s">
        <v>205</v>
      </c>
      <c r="C5" s="105" t="s">
        <v>413</v>
      </c>
      <c r="D5" s="106">
        <v>42759</v>
      </c>
      <c r="E5" s="106">
        <v>42872</v>
      </c>
      <c r="F5" s="105" t="s">
        <v>601</v>
      </c>
      <c r="G5" s="80">
        <v>5</v>
      </c>
      <c r="H5" s="81">
        <v>5</v>
      </c>
      <c r="I5" s="82">
        <v>15.600000000000001</v>
      </c>
      <c r="J5"/>
      <c r="L5"/>
    </row>
    <row r="6" spans="1:12" s="83" customFormat="1" ht="45" x14ac:dyDescent="0.25">
      <c r="A6" s="104" t="s">
        <v>471</v>
      </c>
      <c r="B6" s="105" t="s">
        <v>205</v>
      </c>
      <c r="C6" s="105" t="s">
        <v>416</v>
      </c>
      <c r="D6" s="106">
        <v>42759</v>
      </c>
      <c r="E6" s="106">
        <v>42838</v>
      </c>
      <c r="F6" s="105" t="s">
        <v>601</v>
      </c>
      <c r="G6" s="84">
        <v>5</v>
      </c>
      <c r="H6" s="85">
        <v>5</v>
      </c>
      <c r="I6" s="86">
        <v>13.899999999999999</v>
      </c>
      <c r="K6"/>
    </row>
    <row r="7" spans="1:12" s="83" customFormat="1" ht="45" x14ac:dyDescent="0.25">
      <c r="A7" s="104" t="s">
        <v>507</v>
      </c>
      <c r="B7" s="105" t="s">
        <v>205</v>
      </c>
      <c r="C7" s="105" t="s">
        <v>416</v>
      </c>
      <c r="D7" s="106">
        <v>42759</v>
      </c>
      <c r="E7" s="106">
        <v>42838</v>
      </c>
      <c r="F7" s="105" t="s">
        <v>601</v>
      </c>
      <c r="G7" s="84">
        <v>5</v>
      </c>
      <c r="H7" s="85">
        <v>5</v>
      </c>
      <c r="I7" s="86">
        <v>41.449999999999996</v>
      </c>
    </row>
    <row r="8" spans="1:12" s="87" customFormat="1" ht="30" x14ac:dyDescent="0.25">
      <c r="A8" s="104" t="s">
        <v>442</v>
      </c>
      <c r="B8" s="105" t="s">
        <v>205</v>
      </c>
      <c r="C8" s="105" t="s">
        <v>402</v>
      </c>
      <c r="D8" s="106">
        <v>42830</v>
      </c>
      <c r="E8" s="106">
        <v>42859</v>
      </c>
      <c r="F8" s="105" t="s">
        <v>601</v>
      </c>
      <c r="G8" s="84">
        <v>2</v>
      </c>
      <c r="H8" s="85">
        <v>2</v>
      </c>
      <c r="I8" s="86">
        <v>48</v>
      </c>
    </row>
    <row r="9" spans="1:12" s="87" customFormat="1" ht="45" x14ac:dyDescent="0.25">
      <c r="A9" s="104" t="s">
        <v>453</v>
      </c>
      <c r="B9" s="105" t="s">
        <v>205</v>
      </c>
      <c r="C9" s="105" t="s">
        <v>402</v>
      </c>
      <c r="D9" s="106">
        <v>42830</v>
      </c>
      <c r="E9" s="106">
        <v>42859</v>
      </c>
      <c r="F9" s="105" t="s">
        <v>601</v>
      </c>
      <c r="G9" s="84">
        <v>4</v>
      </c>
      <c r="H9" s="85">
        <v>4</v>
      </c>
      <c r="I9" s="86">
        <v>8.8000000000000007</v>
      </c>
    </row>
    <row r="10" spans="1:12" s="90" customFormat="1" ht="45" x14ac:dyDescent="0.25">
      <c r="A10" s="104" t="s">
        <v>453</v>
      </c>
      <c r="B10" s="105" t="s">
        <v>205</v>
      </c>
      <c r="C10" s="105" t="s">
        <v>416</v>
      </c>
      <c r="D10" s="106">
        <v>42759</v>
      </c>
      <c r="E10" s="106">
        <v>42838</v>
      </c>
      <c r="F10" s="105" t="s">
        <v>601</v>
      </c>
      <c r="G10" s="84">
        <v>5</v>
      </c>
      <c r="H10" s="85">
        <v>5</v>
      </c>
      <c r="I10" s="86">
        <v>11</v>
      </c>
    </row>
    <row r="11" spans="1:12" ht="45" x14ac:dyDescent="0.25">
      <c r="A11" s="104" t="s">
        <v>472</v>
      </c>
      <c r="B11" s="105" t="s">
        <v>205</v>
      </c>
      <c r="C11" s="105" t="s">
        <v>402</v>
      </c>
      <c r="D11" s="106">
        <v>42830</v>
      </c>
      <c r="E11" s="106">
        <v>42859</v>
      </c>
      <c r="F11" s="105" t="s">
        <v>601</v>
      </c>
      <c r="G11" s="84">
        <v>2</v>
      </c>
      <c r="H11" s="85">
        <v>2</v>
      </c>
      <c r="I11" s="86">
        <v>7.36</v>
      </c>
    </row>
    <row r="12" spans="1:12" ht="45" x14ac:dyDescent="0.25">
      <c r="A12" s="104" t="s">
        <v>472</v>
      </c>
      <c r="B12" s="105" t="s">
        <v>205</v>
      </c>
      <c r="C12" s="105" t="s">
        <v>416</v>
      </c>
      <c r="D12" s="106">
        <v>42759</v>
      </c>
      <c r="E12" s="106">
        <v>42838</v>
      </c>
      <c r="F12" s="105" t="s">
        <v>601</v>
      </c>
      <c r="G12" s="84">
        <v>5</v>
      </c>
      <c r="H12" s="85">
        <v>5</v>
      </c>
      <c r="I12" s="86">
        <v>18.400000000000002</v>
      </c>
    </row>
    <row r="13" spans="1:12" ht="45" x14ac:dyDescent="0.25">
      <c r="A13" s="104" t="s">
        <v>473</v>
      </c>
      <c r="B13" s="105" t="s">
        <v>205</v>
      </c>
      <c r="C13" s="105" t="s">
        <v>402</v>
      </c>
      <c r="D13" s="106">
        <v>42830</v>
      </c>
      <c r="E13" s="106">
        <v>42859</v>
      </c>
      <c r="F13" s="105" t="s">
        <v>601</v>
      </c>
      <c r="G13" s="84">
        <v>4</v>
      </c>
      <c r="H13" s="85">
        <v>4</v>
      </c>
      <c r="I13" s="86">
        <v>20.8</v>
      </c>
    </row>
    <row r="14" spans="1:12" ht="30" x14ac:dyDescent="0.25">
      <c r="A14" s="104" t="s">
        <v>559</v>
      </c>
      <c r="B14" s="105" t="s">
        <v>205</v>
      </c>
      <c r="C14" s="105" t="s">
        <v>431</v>
      </c>
      <c r="D14" s="106">
        <v>42835</v>
      </c>
      <c r="E14" s="106">
        <v>43031</v>
      </c>
      <c r="F14" s="105" t="s">
        <v>601</v>
      </c>
      <c r="G14" s="84">
        <v>6</v>
      </c>
      <c r="H14" s="85">
        <v>6</v>
      </c>
      <c r="I14" s="86">
        <v>414.84000000000003</v>
      </c>
    </row>
    <row r="15" spans="1:12" ht="30.75" thickBot="1" x14ac:dyDescent="0.3">
      <c r="A15" s="104" t="s">
        <v>561</v>
      </c>
      <c r="B15" s="105" t="s">
        <v>205</v>
      </c>
      <c r="C15" s="105" t="s">
        <v>431</v>
      </c>
      <c r="D15" s="106">
        <v>42835</v>
      </c>
      <c r="E15" s="106">
        <v>43031</v>
      </c>
      <c r="F15" s="105" t="s">
        <v>601</v>
      </c>
      <c r="G15" s="84">
        <v>2</v>
      </c>
      <c r="H15" s="85">
        <v>2</v>
      </c>
      <c r="I15" s="86">
        <v>1</v>
      </c>
    </row>
    <row r="16" spans="1:12" ht="16.5" thickTop="1" thickBot="1" x14ac:dyDescent="0.3">
      <c r="A16" s="107" t="s">
        <v>199</v>
      </c>
      <c r="B16" s="108"/>
      <c r="C16" s="108"/>
      <c r="D16" s="108"/>
      <c r="E16" s="108"/>
      <c r="F16" s="109"/>
      <c r="G16" s="88">
        <v>45</v>
      </c>
      <c r="H16" s="96">
        <v>45</v>
      </c>
      <c r="I16" s="89">
        <v>601.15000000000009</v>
      </c>
    </row>
    <row r="17" spans="2:5" ht="15.75" thickTop="1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Ga6uL9GWEj0E0GQcDdtu1qvSCiKk00v1isBuSjVU1vV485di8BriGzD1+6wqQEaDP5/9kT4FOzhqoAqyNZD/TA==" saltValue="yBIZOOkQbq/u+x4mpiw89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75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203</v>
      </c>
      <c r="B1" s="78"/>
      <c r="G1" s="217"/>
    </row>
    <row r="2" spans="1:12" ht="16.5" thickTop="1" thickBot="1" x14ac:dyDescent="0.3">
      <c r="A2" s="133" t="s">
        <v>3</v>
      </c>
      <c r="B2" s="111">
        <v>290000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494</v>
      </c>
      <c r="B5" s="105" t="s">
        <v>205</v>
      </c>
      <c r="C5" s="105" t="s">
        <v>416</v>
      </c>
      <c r="D5" s="106">
        <v>42759</v>
      </c>
      <c r="E5" s="106">
        <v>42838</v>
      </c>
      <c r="F5" s="105" t="s">
        <v>601</v>
      </c>
      <c r="G5" s="80">
        <v>2</v>
      </c>
      <c r="H5" s="81">
        <v>2</v>
      </c>
      <c r="I5" s="82">
        <v>10.14</v>
      </c>
      <c r="J5"/>
      <c r="L5"/>
    </row>
    <row r="6" spans="1:12" s="83" customFormat="1" x14ac:dyDescent="0.25">
      <c r="A6" s="104" t="s">
        <v>438</v>
      </c>
      <c r="B6" s="105" t="s">
        <v>205</v>
      </c>
      <c r="C6" s="105" t="s">
        <v>416</v>
      </c>
      <c r="D6" s="106">
        <v>42759</v>
      </c>
      <c r="E6" s="106">
        <v>42838</v>
      </c>
      <c r="F6" s="105" t="s">
        <v>601</v>
      </c>
      <c r="G6" s="84">
        <v>2</v>
      </c>
      <c r="H6" s="85">
        <v>2</v>
      </c>
      <c r="I6" s="86">
        <v>13.76</v>
      </c>
      <c r="K6"/>
    </row>
    <row r="7" spans="1:12" s="83" customFormat="1" x14ac:dyDescent="0.25">
      <c r="A7" s="104" t="s">
        <v>506</v>
      </c>
      <c r="B7" s="105" t="s">
        <v>205</v>
      </c>
      <c r="C7" s="105" t="s">
        <v>416</v>
      </c>
      <c r="D7" s="106">
        <v>42759</v>
      </c>
      <c r="E7" s="106">
        <v>42838</v>
      </c>
      <c r="F7" s="105" t="s">
        <v>601</v>
      </c>
      <c r="G7" s="84">
        <v>100</v>
      </c>
      <c r="H7" s="85">
        <v>100</v>
      </c>
      <c r="I7" s="86">
        <v>484</v>
      </c>
    </row>
    <row r="8" spans="1:12" s="87" customFormat="1" ht="30" x14ac:dyDescent="0.25">
      <c r="A8" s="104" t="s">
        <v>452</v>
      </c>
      <c r="B8" s="105" t="s">
        <v>205</v>
      </c>
      <c r="C8" s="105" t="s">
        <v>393</v>
      </c>
      <c r="D8" s="106">
        <v>42830</v>
      </c>
      <c r="E8" s="106">
        <v>42920</v>
      </c>
      <c r="F8" s="105" t="s">
        <v>601</v>
      </c>
      <c r="G8" s="84">
        <v>1</v>
      </c>
      <c r="H8" s="85">
        <v>1</v>
      </c>
      <c r="I8" s="86">
        <v>204.99</v>
      </c>
    </row>
    <row r="9" spans="1:12" s="87" customFormat="1" ht="30" x14ac:dyDescent="0.25">
      <c r="A9" s="104" t="s">
        <v>452</v>
      </c>
      <c r="B9" s="105" t="s">
        <v>205</v>
      </c>
      <c r="C9" s="105" t="s">
        <v>412</v>
      </c>
      <c r="D9" s="106">
        <v>42759</v>
      </c>
      <c r="E9" s="106">
        <v>42913</v>
      </c>
      <c r="F9" s="105" t="s">
        <v>601</v>
      </c>
      <c r="G9" s="84">
        <v>2</v>
      </c>
      <c r="H9" s="85">
        <v>2</v>
      </c>
      <c r="I9" s="86">
        <v>409.98</v>
      </c>
    </row>
    <row r="10" spans="1:12" s="90" customFormat="1" x14ac:dyDescent="0.25">
      <c r="A10" s="104" t="s">
        <v>514</v>
      </c>
      <c r="B10" s="105" t="s">
        <v>205</v>
      </c>
      <c r="C10" s="105" t="s">
        <v>416</v>
      </c>
      <c r="D10" s="106">
        <v>42759</v>
      </c>
      <c r="E10" s="106">
        <v>42838</v>
      </c>
      <c r="F10" s="105" t="s">
        <v>601</v>
      </c>
      <c r="G10" s="84">
        <v>2</v>
      </c>
      <c r="H10" s="85">
        <v>2</v>
      </c>
      <c r="I10" s="86">
        <v>37.9</v>
      </c>
    </row>
    <row r="11" spans="1:12" x14ac:dyDescent="0.25">
      <c r="A11" s="104" t="s">
        <v>456</v>
      </c>
      <c r="B11" s="105" t="s">
        <v>205</v>
      </c>
      <c r="C11" s="105" t="s">
        <v>416</v>
      </c>
      <c r="D11" s="106">
        <v>42759</v>
      </c>
      <c r="E11" s="106">
        <v>42838</v>
      </c>
      <c r="F11" s="105" t="s">
        <v>601</v>
      </c>
      <c r="G11" s="84">
        <v>2</v>
      </c>
      <c r="H11" s="85">
        <v>2</v>
      </c>
      <c r="I11" s="86">
        <v>670</v>
      </c>
    </row>
    <row r="12" spans="1:12" ht="60" x14ac:dyDescent="0.25">
      <c r="A12" s="104" t="s">
        <v>508</v>
      </c>
      <c r="B12" s="105" t="s">
        <v>205</v>
      </c>
      <c r="C12" s="105" t="s">
        <v>416</v>
      </c>
      <c r="D12" s="106">
        <v>42759</v>
      </c>
      <c r="E12" s="106">
        <v>42838</v>
      </c>
      <c r="F12" s="105" t="s">
        <v>601</v>
      </c>
      <c r="G12" s="84">
        <v>6</v>
      </c>
      <c r="H12" s="85">
        <v>6</v>
      </c>
      <c r="I12" s="86">
        <v>706.62</v>
      </c>
    </row>
    <row r="13" spans="1:12" ht="45" x14ac:dyDescent="0.25">
      <c r="A13" s="104" t="s">
        <v>485</v>
      </c>
      <c r="B13" s="105" t="s">
        <v>205</v>
      </c>
      <c r="C13" s="105" t="s">
        <v>205</v>
      </c>
      <c r="D13" s="106" t="s">
        <v>205</v>
      </c>
      <c r="E13" s="105" t="s">
        <v>205</v>
      </c>
      <c r="F13" s="105" t="s">
        <v>403</v>
      </c>
      <c r="G13" s="84">
        <v>2</v>
      </c>
      <c r="H13" s="85"/>
      <c r="I13" s="86">
        <v>0</v>
      </c>
    </row>
    <row r="14" spans="1:12" x14ac:dyDescent="0.25">
      <c r="A14" s="104" t="s">
        <v>522</v>
      </c>
      <c r="B14" s="105" t="s">
        <v>205</v>
      </c>
      <c r="C14" s="105" t="s">
        <v>416</v>
      </c>
      <c r="D14" s="106">
        <v>42759</v>
      </c>
      <c r="E14" s="106">
        <v>42838</v>
      </c>
      <c r="F14" s="105" t="s">
        <v>601</v>
      </c>
      <c r="G14" s="84">
        <v>2</v>
      </c>
      <c r="H14" s="85">
        <v>2</v>
      </c>
      <c r="I14" s="86">
        <v>45.1</v>
      </c>
    </row>
    <row r="15" spans="1:12" x14ac:dyDescent="0.25">
      <c r="A15" s="104" t="s">
        <v>523</v>
      </c>
      <c r="B15" s="105" t="s">
        <v>205</v>
      </c>
      <c r="C15" s="105" t="s">
        <v>415</v>
      </c>
      <c r="D15" s="106">
        <v>42760</v>
      </c>
      <c r="E15" s="106">
        <v>42838</v>
      </c>
      <c r="F15" s="105" t="s">
        <v>601</v>
      </c>
      <c r="G15" s="84">
        <v>2</v>
      </c>
      <c r="H15" s="85">
        <v>2</v>
      </c>
      <c r="I15" s="86">
        <v>59.1</v>
      </c>
    </row>
    <row r="16" spans="1:12" x14ac:dyDescent="0.25">
      <c r="A16" s="104" t="s">
        <v>439</v>
      </c>
      <c r="B16" s="105" t="s">
        <v>205</v>
      </c>
      <c r="C16" s="105" t="s">
        <v>416</v>
      </c>
      <c r="D16" s="106">
        <v>42759</v>
      </c>
      <c r="E16" s="106">
        <v>42838</v>
      </c>
      <c r="F16" s="105" t="s">
        <v>601</v>
      </c>
      <c r="G16" s="84">
        <v>2</v>
      </c>
      <c r="H16" s="85">
        <v>2</v>
      </c>
      <c r="I16" s="86">
        <v>29.76</v>
      </c>
    </row>
    <row r="17" spans="1:9" x14ac:dyDescent="0.25">
      <c r="A17" s="104" t="s">
        <v>479</v>
      </c>
      <c r="B17" s="105" t="s">
        <v>205</v>
      </c>
      <c r="C17" s="105" t="s">
        <v>416</v>
      </c>
      <c r="D17" s="106">
        <v>42759</v>
      </c>
      <c r="E17" s="106">
        <v>42838</v>
      </c>
      <c r="F17" s="105" t="s">
        <v>601</v>
      </c>
      <c r="G17" s="84">
        <v>2</v>
      </c>
      <c r="H17" s="85">
        <v>2</v>
      </c>
      <c r="I17" s="86">
        <v>28</v>
      </c>
    </row>
    <row r="18" spans="1:9" ht="45" x14ac:dyDescent="0.25">
      <c r="A18" s="104" t="s">
        <v>453</v>
      </c>
      <c r="B18" s="105" t="s">
        <v>205</v>
      </c>
      <c r="C18" s="105" t="s">
        <v>416</v>
      </c>
      <c r="D18" s="106">
        <v>42759</v>
      </c>
      <c r="E18" s="106">
        <v>42838</v>
      </c>
      <c r="F18" s="105" t="s">
        <v>601</v>
      </c>
      <c r="G18" s="84">
        <v>2</v>
      </c>
      <c r="H18" s="85">
        <v>2</v>
      </c>
      <c r="I18" s="86">
        <v>4.4000000000000004</v>
      </c>
    </row>
    <row r="19" spans="1:9" ht="75" x14ac:dyDescent="0.25">
      <c r="A19" s="104" t="s">
        <v>537</v>
      </c>
      <c r="B19" s="105" t="s">
        <v>205</v>
      </c>
      <c r="C19" s="105" t="s">
        <v>416</v>
      </c>
      <c r="D19" s="106">
        <v>42759</v>
      </c>
      <c r="E19" s="106">
        <v>42838</v>
      </c>
      <c r="F19" s="105" t="s">
        <v>615</v>
      </c>
      <c r="G19" s="84">
        <v>100</v>
      </c>
      <c r="H19" s="85">
        <v>60</v>
      </c>
      <c r="I19" s="86">
        <v>88.8</v>
      </c>
    </row>
    <row r="20" spans="1:9" ht="75" x14ac:dyDescent="0.25">
      <c r="A20" s="104" t="s">
        <v>517</v>
      </c>
      <c r="B20" s="105" t="s">
        <v>205</v>
      </c>
      <c r="C20" s="105" t="s">
        <v>416</v>
      </c>
      <c r="D20" s="106">
        <v>42759</v>
      </c>
      <c r="E20" s="106">
        <v>42838</v>
      </c>
      <c r="F20" s="105" t="s">
        <v>615</v>
      </c>
      <c r="G20" s="84">
        <v>5</v>
      </c>
      <c r="H20" s="85">
        <v>5</v>
      </c>
      <c r="I20" s="86">
        <v>24.75</v>
      </c>
    </row>
    <row r="21" spans="1:9" x14ac:dyDescent="0.25">
      <c r="A21" s="104" t="s">
        <v>549</v>
      </c>
      <c r="B21" s="105" t="s">
        <v>205</v>
      </c>
      <c r="C21" s="105" t="s">
        <v>429</v>
      </c>
      <c r="D21" s="106" t="s">
        <v>430</v>
      </c>
      <c r="E21" s="106">
        <v>42898</v>
      </c>
      <c r="F21" s="105" t="s">
        <v>601</v>
      </c>
      <c r="G21" s="84">
        <v>3</v>
      </c>
      <c r="H21" s="85">
        <v>3</v>
      </c>
      <c r="I21" s="86">
        <v>102.57</v>
      </c>
    </row>
    <row r="22" spans="1:9" x14ac:dyDescent="0.25">
      <c r="A22" s="104" t="s">
        <v>549</v>
      </c>
      <c r="B22" s="105">
        <v>425</v>
      </c>
      <c r="C22" s="105" t="s">
        <v>590</v>
      </c>
      <c r="D22" s="106">
        <v>42577</v>
      </c>
      <c r="E22" s="106">
        <v>42954</v>
      </c>
      <c r="F22" s="105" t="s">
        <v>601</v>
      </c>
      <c r="G22" s="84">
        <v>18</v>
      </c>
      <c r="H22" s="85">
        <v>18</v>
      </c>
      <c r="I22" s="86">
        <v>615.41999999999996</v>
      </c>
    </row>
    <row r="23" spans="1:9" ht="135" x14ac:dyDescent="0.25">
      <c r="A23" s="104" t="s">
        <v>539</v>
      </c>
      <c r="B23" s="105">
        <v>425</v>
      </c>
      <c r="C23" s="105" t="s">
        <v>599</v>
      </c>
      <c r="D23" s="106">
        <v>42577</v>
      </c>
      <c r="E23" s="106">
        <v>42942</v>
      </c>
      <c r="F23" s="105" t="s">
        <v>601</v>
      </c>
      <c r="G23" s="84">
        <v>3</v>
      </c>
      <c r="H23" s="85">
        <v>2</v>
      </c>
      <c r="I23" s="86">
        <v>593.98</v>
      </c>
    </row>
    <row r="24" spans="1:9" ht="45" x14ac:dyDescent="0.25">
      <c r="A24" s="104" t="s">
        <v>546</v>
      </c>
      <c r="B24" s="105">
        <v>425</v>
      </c>
      <c r="C24" s="105" t="s">
        <v>594</v>
      </c>
      <c r="D24" s="106">
        <v>42577</v>
      </c>
      <c r="E24" s="106">
        <v>42934</v>
      </c>
      <c r="F24" s="105" t="s">
        <v>601</v>
      </c>
      <c r="G24" s="84">
        <v>3</v>
      </c>
      <c r="H24" s="85">
        <v>3</v>
      </c>
      <c r="I24" s="86">
        <v>75</v>
      </c>
    </row>
    <row r="25" spans="1:9" ht="60" x14ac:dyDescent="0.25">
      <c r="A25" s="104" t="s">
        <v>325</v>
      </c>
      <c r="B25" s="105">
        <v>425</v>
      </c>
      <c r="C25" s="105" t="s">
        <v>595</v>
      </c>
      <c r="D25" s="106">
        <v>42577</v>
      </c>
      <c r="E25" s="106">
        <v>42940</v>
      </c>
      <c r="F25" s="105" t="s">
        <v>601</v>
      </c>
      <c r="G25" s="84">
        <v>1</v>
      </c>
      <c r="H25" s="85">
        <v>1</v>
      </c>
      <c r="I25" s="86">
        <v>525.98</v>
      </c>
    </row>
    <row r="26" spans="1:9" x14ac:dyDescent="0.25">
      <c r="A26" s="104" t="s">
        <v>547</v>
      </c>
      <c r="B26" s="105">
        <v>425</v>
      </c>
      <c r="C26" s="105" t="s">
        <v>596</v>
      </c>
      <c r="D26" s="106">
        <v>42577</v>
      </c>
      <c r="E26" s="106">
        <v>42970</v>
      </c>
      <c r="F26" s="105" t="s">
        <v>601</v>
      </c>
      <c r="G26" s="84">
        <v>2</v>
      </c>
      <c r="H26" s="85">
        <v>1</v>
      </c>
      <c r="I26" s="86">
        <v>88.53</v>
      </c>
    </row>
    <row r="27" spans="1:9" x14ac:dyDescent="0.25">
      <c r="A27" s="104" t="s">
        <v>570</v>
      </c>
      <c r="B27" s="105">
        <v>425</v>
      </c>
      <c r="C27" s="105" t="s">
        <v>596</v>
      </c>
      <c r="D27" s="106">
        <v>42577</v>
      </c>
      <c r="E27" s="106">
        <v>42970</v>
      </c>
      <c r="F27" s="105" t="s">
        <v>601</v>
      </c>
      <c r="G27" s="84">
        <v>2</v>
      </c>
      <c r="H27" s="85">
        <v>2</v>
      </c>
      <c r="I27" s="86">
        <v>85.46</v>
      </c>
    </row>
    <row r="28" spans="1:9" x14ac:dyDescent="0.25">
      <c r="A28" s="104" t="s">
        <v>548</v>
      </c>
      <c r="B28" s="105">
        <v>425</v>
      </c>
      <c r="C28" s="105" t="s">
        <v>596</v>
      </c>
      <c r="D28" s="106">
        <v>42577</v>
      </c>
      <c r="E28" s="106">
        <v>42970</v>
      </c>
      <c r="F28" s="105" t="s">
        <v>601</v>
      </c>
      <c r="G28" s="84">
        <v>10</v>
      </c>
      <c r="H28" s="85">
        <v>10</v>
      </c>
      <c r="I28" s="86">
        <v>216.5</v>
      </c>
    </row>
    <row r="29" spans="1:9" x14ac:dyDescent="0.25">
      <c r="A29" s="104" t="s">
        <v>368</v>
      </c>
      <c r="B29" s="105">
        <v>425</v>
      </c>
      <c r="C29" s="105" t="s">
        <v>593</v>
      </c>
      <c r="D29" s="106">
        <v>42577</v>
      </c>
      <c r="E29" s="106">
        <v>42933</v>
      </c>
      <c r="F29" s="105" t="s">
        <v>601</v>
      </c>
      <c r="G29" s="84">
        <v>10</v>
      </c>
      <c r="H29" s="85">
        <v>10</v>
      </c>
      <c r="I29" s="86">
        <v>150</v>
      </c>
    </row>
    <row r="30" spans="1:9" x14ac:dyDescent="0.25">
      <c r="A30" s="104" t="s">
        <v>369</v>
      </c>
      <c r="B30" s="105">
        <v>425</v>
      </c>
      <c r="C30" s="105" t="s">
        <v>593</v>
      </c>
      <c r="D30" s="106">
        <v>42577</v>
      </c>
      <c r="E30" s="106">
        <v>42933</v>
      </c>
      <c r="F30" s="105" t="s">
        <v>601</v>
      </c>
      <c r="G30" s="84">
        <v>10</v>
      </c>
      <c r="H30" s="85">
        <v>10</v>
      </c>
      <c r="I30" s="86">
        <v>120</v>
      </c>
    </row>
    <row r="31" spans="1:9" x14ac:dyDescent="0.25">
      <c r="A31" s="104" t="s">
        <v>571</v>
      </c>
      <c r="B31" s="105" t="s">
        <v>205</v>
      </c>
      <c r="C31" s="105" t="s">
        <v>429</v>
      </c>
      <c r="D31" s="106">
        <v>42835</v>
      </c>
      <c r="E31" s="106">
        <v>42898</v>
      </c>
      <c r="F31" s="105" t="s">
        <v>601</v>
      </c>
      <c r="G31" s="84">
        <v>2</v>
      </c>
      <c r="H31" s="85">
        <v>2</v>
      </c>
      <c r="I31" s="86">
        <v>340</v>
      </c>
    </row>
    <row r="32" spans="1:9" x14ac:dyDescent="0.25">
      <c r="A32" s="104" t="s">
        <v>571</v>
      </c>
      <c r="B32" s="105">
        <v>425</v>
      </c>
      <c r="C32" s="105" t="s">
        <v>590</v>
      </c>
      <c r="D32" s="106">
        <v>42577</v>
      </c>
      <c r="E32" s="106">
        <v>42954</v>
      </c>
      <c r="F32" s="105" t="s">
        <v>601</v>
      </c>
      <c r="G32" s="84">
        <v>7</v>
      </c>
      <c r="H32" s="85">
        <v>7</v>
      </c>
      <c r="I32" s="86">
        <v>1190</v>
      </c>
    </row>
    <row r="33" spans="1:9" x14ac:dyDescent="0.25">
      <c r="A33" s="104" t="s">
        <v>554</v>
      </c>
      <c r="B33" s="105">
        <v>425</v>
      </c>
      <c r="C33" s="105" t="s">
        <v>596</v>
      </c>
      <c r="D33" s="106">
        <v>42577</v>
      </c>
      <c r="E33" s="106">
        <v>42970</v>
      </c>
      <c r="F33" s="105" t="s">
        <v>601</v>
      </c>
      <c r="G33" s="84">
        <v>25</v>
      </c>
      <c r="H33" s="85">
        <v>10</v>
      </c>
      <c r="I33" s="86">
        <v>39.900000000000006</v>
      </c>
    </row>
    <row r="34" spans="1:9" ht="30" x14ac:dyDescent="0.25">
      <c r="A34" s="104" t="s">
        <v>297</v>
      </c>
      <c r="B34" s="105">
        <v>425</v>
      </c>
      <c r="C34" s="105" t="s">
        <v>589</v>
      </c>
      <c r="D34" s="106">
        <v>42577</v>
      </c>
      <c r="E34" s="106">
        <v>42976</v>
      </c>
      <c r="F34" s="105" t="s">
        <v>601</v>
      </c>
      <c r="G34" s="84">
        <v>10</v>
      </c>
      <c r="H34" s="85">
        <v>10</v>
      </c>
      <c r="I34" s="86">
        <v>33.5</v>
      </c>
    </row>
    <row r="35" spans="1:9" ht="30" x14ac:dyDescent="0.25">
      <c r="A35" s="104" t="s">
        <v>299</v>
      </c>
      <c r="B35" s="105">
        <v>425</v>
      </c>
      <c r="C35" s="105" t="s">
        <v>589</v>
      </c>
      <c r="D35" s="106">
        <v>42577</v>
      </c>
      <c r="E35" s="106">
        <v>42976</v>
      </c>
      <c r="F35" s="105" t="s">
        <v>601</v>
      </c>
      <c r="G35" s="84">
        <v>10</v>
      </c>
      <c r="H35" s="85">
        <v>10</v>
      </c>
      <c r="I35" s="86">
        <v>51.2</v>
      </c>
    </row>
    <row r="36" spans="1:9" x14ac:dyDescent="0.25">
      <c r="A36" s="104" t="s">
        <v>550</v>
      </c>
      <c r="B36" s="105">
        <v>425</v>
      </c>
      <c r="C36" s="105" t="s">
        <v>205</v>
      </c>
      <c r="D36" s="106">
        <v>42577</v>
      </c>
      <c r="E36" s="105" t="s">
        <v>205</v>
      </c>
      <c r="F36" s="105" t="s">
        <v>205</v>
      </c>
      <c r="G36" s="84">
        <v>1</v>
      </c>
      <c r="H36" s="85"/>
      <c r="I36" s="86"/>
    </row>
    <row r="37" spans="1:9" ht="30.75" thickBot="1" x14ac:dyDescent="0.3">
      <c r="A37" s="104" t="s">
        <v>561</v>
      </c>
      <c r="B37" s="105">
        <v>425</v>
      </c>
      <c r="C37" s="105" t="s">
        <v>591</v>
      </c>
      <c r="D37" s="106">
        <v>42577</v>
      </c>
      <c r="E37" s="106">
        <v>42940</v>
      </c>
      <c r="F37" s="105" t="s">
        <v>601</v>
      </c>
      <c r="G37" s="84">
        <v>2</v>
      </c>
      <c r="H37" s="85">
        <v>2</v>
      </c>
      <c r="I37" s="86">
        <v>1</v>
      </c>
    </row>
    <row r="38" spans="1:9" ht="16.5" thickTop="1" thickBot="1" x14ac:dyDescent="0.3">
      <c r="A38" s="107" t="s">
        <v>199</v>
      </c>
      <c r="B38" s="108"/>
      <c r="C38" s="108"/>
      <c r="D38" s="108"/>
      <c r="E38" s="108"/>
      <c r="F38" s="109"/>
      <c r="G38" s="88">
        <v>353</v>
      </c>
      <c r="H38" s="96">
        <v>293</v>
      </c>
      <c r="I38" s="89">
        <v>7046.3399999999992</v>
      </c>
    </row>
    <row r="39" spans="1:9" ht="15.75" thickTop="1" x14ac:dyDescent="0.25">
      <c r="B39"/>
      <c r="C39"/>
      <c r="D39"/>
      <c r="E39"/>
    </row>
    <row r="40" spans="1:9" x14ac:dyDescent="0.25">
      <c r="B40"/>
      <c r="C40"/>
      <c r="D40"/>
      <c r="E40"/>
    </row>
    <row r="41" spans="1:9" x14ac:dyDescent="0.25">
      <c r="B41"/>
      <c r="C41"/>
      <c r="D41"/>
      <c r="E41"/>
    </row>
    <row r="42" spans="1:9" x14ac:dyDescent="0.25">
      <c r="B42"/>
      <c r="C42"/>
      <c r="D42"/>
      <c r="E42"/>
    </row>
    <row r="43" spans="1:9" x14ac:dyDescent="0.25">
      <c r="B43"/>
      <c r="C43"/>
      <c r="D43"/>
      <c r="E43"/>
    </row>
    <row r="44" spans="1:9" x14ac:dyDescent="0.25">
      <c r="B44"/>
      <c r="C44"/>
      <c r="D44"/>
      <c r="E44"/>
    </row>
    <row r="45" spans="1:9" x14ac:dyDescent="0.25">
      <c r="B45"/>
      <c r="C45"/>
      <c r="D45"/>
      <c r="E45"/>
    </row>
    <row r="46" spans="1:9" x14ac:dyDescent="0.25">
      <c r="B46"/>
      <c r="C46"/>
      <c r="D46"/>
      <c r="E46"/>
    </row>
    <row r="47" spans="1:9" x14ac:dyDescent="0.25">
      <c r="B47"/>
      <c r="C47"/>
      <c r="D47"/>
      <c r="E47"/>
    </row>
    <row r="48" spans="1:9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AzbuGlFhRad2tRmN+utjdTa/QFPrgBs8g171O+qgWX/TdqEPaziwHnI3ltIVFU+PaZ/mb1HQSgRESDBbnzUF+Q==" saltValue="M6mky+744ycQb3eo7ZA0f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75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390</v>
      </c>
      <c r="B1" s="78"/>
      <c r="G1" s="217"/>
    </row>
    <row r="2" spans="1:12" ht="16.5" thickTop="1" thickBot="1" x14ac:dyDescent="0.3">
      <c r="A2" s="133" t="s">
        <v>3</v>
      </c>
      <c r="B2" s="111">
        <v>310000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506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2</v>
      </c>
      <c r="H5" s="81">
        <v>2</v>
      </c>
      <c r="I5" s="82">
        <v>9.68</v>
      </c>
      <c r="J5"/>
      <c r="L5"/>
    </row>
    <row r="6" spans="1:12" s="83" customFormat="1" x14ac:dyDescent="0.25">
      <c r="A6" s="104" t="s">
        <v>451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2</v>
      </c>
      <c r="H6" s="85">
        <v>2</v>
      </c>
      <c r="I6" s="86">
        <v>4.6399999999999997</v>
      </c>
      <c r="K6"/>
    </row>
    <row r="7" spans="1:12" s="83" customFormat="1" ht="45.75" thickBot="1" x14ac:dyDescent="0.3">
      <c r="A7" s="104" t="s">
        <v>507</v>
      </c>
      <c r="B7" s="105" t="s">
        <v>205</v>
      </c>
      <c r="C7" s="105" t="s">
        <v>402</v>
      </c>
      <c r="D7" s="106">
        <v>41734</v>
      </c>
      <c r="E7" s="106">
        <v>42859</v>
      </c>
      <c r="F7" s="105" t="s">
        <v>601</v>
      </c>
      <c r="G7" s="84">
        <v>3</v>
      </c>
      <c r="H7" s="85">
        <v>3</v>
      </c>
      <c r="I7" s="86">
        <v>24.869999999999997</v>
      </c>
    </row>
    <row r="8" spans="1:12" s="87" customFormat="1" ht="16.5" thickTop="1" thickBot="1" x14ac:dyDescent="0.3">
      <c r="A8" s="107" t="s">
        <v>199</v>
      </c>
      <c r="B8" s="108"/>
      <c r="C8" s="108"/>
      <c r="D8" s="108"/>
      <c r="E8" s="108"/>
      <c r="F8" s="109"/>
      <c r="G8" s="88">
        <v>7</v>
      </c>
      <c r="H8" s="96">
        <v>7</v>
      </c>
      <c r="I8" s="89">
        <v>39.19</v>
      </c>
    </row>
    <row r="9" spans="1:12" s="87" customFormat="1" ht="15.75" thickTop="1" x14ac:dyDescent="0.25">
      <c r="A9"/>
      <c r="B9"/>
      <c r="C9"/>
      <c r="D9"/>
      <c r="E9"/>
      <c r="F9"/>
      <c r="G9"/>
      <c r="H9"/>
      <c r="I9"/>
    </row>
    <row r="10" spans="1:12" s="90" customFormat="1" x14ac:dyDescent="0.25">
      <c r="A10"/>
      <c r="B10"/>
      <c r="C10"/>
      <c r="D10"/>
      <c r="E10"/>
      <c r="F10"/>
      <c r="G10"/>
      <c r="H10"/>
      <c r="I10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YzqpnGvUGR0LZXvIWjQFO03V6AR046gyY+OVkWpsc94Q9HheFpsw6L2H2YjJIOvLhoRftVvO4LjQpAXsiRVzyA==" saltValue="uDP8Fw7w5IAikwcG5CuUY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75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578</v>
      </c>
      <c r="B1" s="78"/>
      <c r="G1" s="217"/>
    </row>
    <row r="2" spans="1:12" ht="16.5" thickTop="1" thickBot="1" x14ac:dyDescent="0.3">
      <c r="A2" s="133" t="s">
        <v>3</v>
      </c>
      <c r="B2" s="111">
        <v>400000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549</v>
      </c>
      <c r="B5" s="105">
        <v>475</v>
      </c>
      <c r="C5" s="105" t="s">
        <v>590</v>
      </c>
      <c r="D5" s="106">
        <v>42577</v>
      </c>
      <c r="E5" s="106">
        <v>42954</v>
      </c>
      <c r="F5" s="105" t="s">
        <v>601</v>
      </c>
      <c r="G5" s="80">
        <v>3</v>
      </c>
      <c r="H5" s="81">
        <v>3</v>
      </c>
      <c r="I5" s="82">
        <v>102.57</v>
      </c>
      <c r="J5"/>
      <c r="L5"/>
    </row>
    <row r="6" spans="1:12" s="83" customFormat="1" ht="30" x14ac:dyDescent="0.25">
      <c r="A6" s="104" t="s">
        <v>540</v>
      </c>
      <c r="B6" s="105">
        <v>475</v>
      </c>
      <c r="C6" s="105" t="s">
        <v>597</v>
      </c>
      <c r="D6" s="106">
        <v>42577</v>
      </c>
      <c r="E6" s="106">
        <v>42926</v>
      </c>
      <c r="F6" s="105" t="s">
        <v>601</v>
      </c>
      <c r="G6" s="84">
        <v>4</v>
      </c>
      <c r="H6" s="85">
        <v>4</v>
      </c>
      <c r="I6" s="86">
        <v>454</v>
      </c>
      <c r="K6"/>
    </row>
    <row r="7" spans="1:12" s="83" customFormat="1" ht="45" x14ac:dyDescent="0.25">
      <c r="A7" s="104" t="s">
        <v>546</v>
      </c>
      <c r="B7" s="105">
        <v>475</v>
      </c>
      <c r="C7" s="105" t="s">
        <v>594</v>
      </c>
      <c r="D7" s="106">
        <v>42577</v>
      </c>
      <c r="E7" s="106">
        <v>42934</v>
      </c>
      <c r="F7" s="105" t="s">
        <v>601</v>
      </c>
      <c r="G7" s="84">
        <v>3</v>
      </c>
      <c r="H7" s="85">
        <v>3</v>
      </c>
      <c r="I7" s="86">
        <v>75</v>
      </c>
    </row>
    <row r="8" spans="1:12" s="87" customFormat="1" x14ac:dyDescent="0.25">
      <c r="A8" s="104" t="s">
        <v>547</v>
      </c>
      <c r="B8" s="105">
        <v>475</v>
      </c>
      <c r="C8" s="105" t="s">
        <v>596</v>
      </c>
      <c r="D8" s="106">
        <v>42577</v>
      </c>
      <c r="E8" s="106">
        <v>42970</v>
      </c>
      <c r="F8" s="105" t="s">
        <v>601</v>
      </c>
      <c r="G8" s="84">
        <v>4</v>
      </c>
      <c r="H8" s="85">
        <v>3</v>
      </c>
      <c r="I8" s="86">
        <v>265.59000000000003</v>
      </c>
    </row>
    <row r="9" spans="1:12" s="87" customFormat="1" x14ac:dyDescent="0.25">
      <c r="A9" s="104" t="s">
        <v>548</v>
      </c>
      <c r="B9" s="105">
        <v>475</v>
      </c>
      <c r="C9" s="105" t="s">
        <v>596</v>
      </c>
      <c r="D9" s="106">
        <v>42577</v>
      </c>
      <c r="E9" s="106">
        <v>42970</v>
      </c>
      <c r="F9" s="105" t="s">
        <v>601</v>
      </c>
      <c r="G9" s="84">
        <v>4</v>
      </c>
      <c r="H9" s="85">
        <v>4</v>
      </c>
      <c r="I9" s="86">
        <v>86.6</v>
      </c>
    </row>
    <row r="10" spans="1:12" s="90" customFormat="1" x14ac:dyDescent="0.25">
      <c r="A10" s="104" t="s">
        <v>356</v>
      </c>
      <c r="B10" s="105">
        <v>475</v>
      </c>
      <c r="C10" s="105" t="s">
        <v>596</v>
      </c>
      <c r="D10" s="106">
        <v>42577</v>
      </c>
      <c r="E10" s="106">
        <v>42970</v>
      </c>
      <c r="F10" s="105" t="s">
        <v>601</v>
      </c>
      <c r="G10" s="84">
        <v>20</v>
      </c>
      <c r="H10" s="85">
        <v>20</v>
      </c>
      <c r="I10" s="86">
        <v>349.6</v>
      </c>
    </row>
    <row r="11" spans="1:12" x14ac:dyDescent="0.25">
      <c r="A11" s="104" t="s">
        <v>557</v>
      </c>
      <c r="B11" s="105">
        <v>475</v>
      </c>
      <c r="C11" s="105" t="s">
        <v>596</v>
      </c>
      <c r="D11" s="106">
        <v>42577</v>
      </c>
      <c r="E11" s="106">
        <v>42970</v>
      </c>
      <c r="F11" s="105" t="s">
        <v>601</v>
      </c>
      <c r="G11" s="84">
        <v>10</v>
      </c>
      <c r="H11" s="85">
        <v>10</v>
      </c>
      <c r="I11" s="86">
        <v>65</v>
      </c>
    </row>
    <row r="12" spans="1:12" ht="30" x14ac:dyDescent="0.25">
      <c r="A12" s="104" t="s">
        <v>560</v>
      </c>
      <c r="B12" s="105">
        <v>475</v>
      </c>
      <c r="C12" s="105" t="s">
        <v>598</v>
      </c>
      <c r="D12" s="106">
        <v>42577</v>
      </c>
      <c r="E12" s="105" t="s">
        <v>643</v>
      </c>
      <c r="F12" s="105" t="s">
        <v>647</v>
      </c>
      <c r="G12" s="84">
        <v>30</v>
      </c>
      <c r="H12" s="85">
        <v>30</v>
      </c>
      <c r="I12" s="86">
        <v>96</v>
      </c>
    </row>
    <row r="13" spans="1:12" x14ac:dyDescent="0.25">
      <c r="A13" s="104" t="s">
        <v>368</v>
      </c>
      <c r="B13" s="105">
        <v>475</v>
      </c>
      <c r="C13" s="105" t="s">
        <v>593</v>
      </c>
      <c r="D13" s="106">
        <v>42577</v>
      </c>
      <c r="E13" s="106">
        <v>42933</v>
      </c>
      <c r="F13" s="105" t="s">
        <v>601</v>
      </c>
      <c r="G13" s="84">
        <v>3</v>
      </c>
      <c r="H13" s="85">
        <v>3</v>
      </c>
      <c r="I13" s="86">
        <v>45</v>
      </c>
    </row>
    <row r="14" spans="1:12" x14ac:dyDescent="0.25">
      <c r="A14" s="104" t="s">
        <v>369</v>
      </c>
      <c r="B14" s="105">
        <v>475</v>
      </c>
      <c r="C14" s="105" t="s">
        <v>593</v>
      </c>
      <c r="D14" s="106">
        <v>42577</v>
      </c>
      <c r="E14" s="106">
        <v>42933</v>
      </c>
      <c r="F14" s="105" t="s">
        <v>601</v>
      </c>
      <c r="G14" s="84">
        <v>2</v>
      </c>
      <c r="H14" s="85">
        <v>2</v>
      </c>
      <c r="I14" s="86">
        <v>24</v>
      </c>
    </row>
    <row r="15" spans="1:12" x14ac:dyDescent="0.25">
      <c r="A15" s="104" t="s">
        <v>541</v>
      </c>
      <c r="B15" s="105">
        <v>475</v>
      </c>
      <c r="C15" s="105" t="s">
        <v>600</v>
      </c>
      <c r="D15" s="106">
        <v>42577</v>
      </c>
      <c r="E15" s="106">
        <v>42933</v>
      </c>
      <c r="F15" s="105" t="s">
        <v>601</v>
      </c>
      <c r="G15" s="84">
        <v>10</v>
      </c>
      <c r="H15" s="85">
        <v>10</v>
      </c>
      <c r="I15" s="86">
        <v>18.2</v>
      </c>
    </row>
    <row r="16" spans="1:12" x14ac:dyDescent="0.25">
      <c r="A16" s="104" t="s">
        <v>542</v>
      </c>
      <c r="B16" s="105">
        <v>475</v>
      </c>
      <c r="C16" s="105" t="s">
        <v>600</v>
      </c>
      <c r="D16" s="106">
        <v>42577</v>
      </c>
      <c r="E16" s="106">
        <v>42933</v>
      </c>
      <c r="F16" s="105" t="s">
        <v>601</v>
      </c>
      <c r="G16" s="84">
        <v>10</v>
      </c>
      <c r="H16" s="85">
        <v>10</v>
      </c>
      <c r="I16" s="86">
        <v>39.5</v>
      </c>
    </row>
    <row r="17" spans="1:9" x14ac:dyDescent="0.25">
      <c r="A17" s="104" t="s">
        <v>544</v>
      </c>
      <c r="B17" s="105">
        <v>475</v>
      </c>
      <c r="C17" s="105" t="s">
        <v>600</v>
      </c>
      <c r="D17" s="106">
        <v>42577</v>
      </c>
      <c r="E17" s="106">
        <v>42933</v>
      </c>
      <c r="F17" s="105" t="s">
        <v>601</v>
      </c>
      <c r="G17" s="84">
        <v>10</v>
      </c>
      <c r="H17" s="85">
        <v>10</v>
      </c>
      <c r="I17" s="86">
        <v>22.9</v>
      </c>
    </row>
    <row r="18" spans="1:9" x14ac:dyDescent="0.25">
      <c r="A18" s="104" t="s">
        <v>571</v>
      </c>
      <c r="B18" s="105">
        <v>475</v>
      </c>
      <c r="C18" s="105" t="s">
        <v>590</v>
      </c>
      <c r="D18" s="106">
        <v>42577</v>
      </c>
      <c r="E18" s="106">
        <v>42954</v>
      </c>
      <c r="F18" s="105" t="s">
        <v>601</v>
      </c>
      <c r="G18" s="84">
        <v>3</v>
      </c>
      <c r="H18" s="85">
        <v>3</v>
      </c>
      <c r="I18" s="86">
        <v>510</v>
      </c>
    </row>
    <row r="19" spans="1:9" x14ac:dyDescent="0.25">
      <c r="A19" s="104" t="s">
        <v>554</v>
      </c>
      <c r="B19" s="105">
        <v>475</v>
      </c>
      <c r="C19" s="105" t="s">
        <v>596</v>
      </c>
      <c r="D19" s="106">
        <v>42577</v>
      </c>
      <c r="E19" s="106">
        <v>42970</v>
      </c>
      <c r="F19" s="105" t="s">
        <v>601</v>
      </c>
      <c r="G19" s="84">
        <v>10</v>
      </c>
      <c r="H19" s="85">
        <v>10</v>
      </c>
      <c r="I19" s="86">
        <v>39.900000000000006</v>
      </c>
    </row>
    <row r="20" spans="1:9" ht="30" x14ac:dyDescent="0.25">
      <c r="A20" s="104" t="s">
        <v>555</v>
      </c>
      <c r="B20" s="105">
        <v>475</v>
      </c>
      <c r="C20" s="105" t="s">
        <v>598</v>
      </c>
      <c r="D20" s="106">
        <v>42577</v>
      </c>
      <c r="E20" s="105" t="s">
        <v>643</v>
      </c>
      <c r="F20" s="105" t="s">
        <v>647</v>
      </c>
      <c r="G20" s="84">
        <v>10</v>
      </c>
      <c r="H20" s="85">
        <v>10</v>
      </c>
      <c r="I20" s="86">
        <v>6890</v>
      </c>
    </row>
    <row r="21" spans="1:9" x14ac:dyDescent="0.25">
      <c r="A21" s="104" t="s">
        <v>550</v>
      </c>
      <c r="B21" s="105">
        <v>475</v>
      </c>
      <c r="C21" s="105" t="s">
        <v>205</v>
      </c>
      <c r="D21" s="106">
        <v>42577</v>
      </c>
      <c r="E21" s="105" t="s">
        <v>205</v>
      </c>
      <c r="F21" s="105" t="s">
        <v>205</v>
      </c>
      <c r="G21" s="84">
        <v>2</v>
      </c>
      <c r="H21" s="85"/>
      <c r="I21" s="86"/>
    </row>
    <row r="22" spans="1:9" x14ac:dyDescent="0.25">
      <c r="A22" s="104" t="s">
        <v>551</v>
      </c>
      <c r="B22" s="105">
        <v>475</v>
      </c>
      <c r="C22" s="105" t="s">
        <v>596</v>
      </c>
      <c r="D22" s="106">
        <v>42577</v>
      </c>
      <c r="E22" s="106">
        <v>42970</v>
      </c>
      <c r="F22" s="105" t="s">
        <v>601</v>
      </c>
      <c r="G22" s="84">
        <v>10</v>
      </c>
      <c r="H22" s="85">
        <v>4</v>
      </c>
      <c r="I22" s="86">
        <v>17.64</v>
      </c>
    </row>
    <row r="23" spans="1:9" x14ac:dyDescent="0.25">
      <c r="A23" s="104" t="s">
        <v>208</v>
      </c>
      <c r="B23" s="105">
        <v>475</v>
      </c>
      <c r="C23" s="105" t="s">
        <v>596</v>
      </c>
      <c r="D23" s="106">
        <v>42577</v>
      </c>
      <c r="E23" s="106">
        <v>42970</v>
      </c>
      <c r="F23" s="105" t="s">
        <v>601</v>
      </c>
      <c r="G23" s="84">
        <v>1</v>
      </c>
      <c r="H23" s="85">
        <v>1</v>
      </c>
      <c r="I23" s="86">
        <v>399</v>
      </c>
    </row>
    <row r="24" spans="1:9" ht="30.75" thickBot="1" x14ac:dyDescent="0.3">
      <c r="A24" s="104" t="s">
        <v>262</v>
      </c>
      <c r="B24" s="105">
        <v>475</v>
      </c>
      <c r="C24" s="105" t="s">
        <v>589</v>
      </c>
      <c r="D24" s="106">
        <v>42577</v>
      </c>
      <c r="E24" s="106">
        <v>42976</v>
      </c>
      <c r="F24" s="105" t="s">
        <v>601</v>
      </c>
      <c r="G24" s="84">
        <v>5</v>
      </c>
      <c r="H24" s="85">
        <v>5</v>
      </c>
      <c r="I24" s="86">
        <v>25.950000000000003</v>
      </c>
    </row>
    <row r="25" spans="1:9" ht="16.5" thickTop="1" thickBot="1" x14ac:dyDescent="0.3">
      <c r="A25" s="107" t="s">
        <v>199</v>
      </c>
      <c r="B25" s="108"/>
      <c r="C25" s="108"/>
      <c r="D25" s="108"/>
      <c r="E25" s="108"/>
      <c r="F25" s="109"/>
      <c r="G25" s="88">
        <v>154</v>
      </c>
      <c r="H25" s="96">
        <v>145</v>
      </c>
      <c r="I25" s="89">
        <v>9526.4500000000007</v>
      </c>
    </row>
    <row r="26" spans="1:9" ht="15.75" thickTop="1" x14ac:dyDescent="0.25">
      <c r="B26"/>
      <c r="C26"/>
      <c r="D26"/>
      <c r="E26"/>
    </row>
    <row r="27" spans="1:9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/cbW1iWCCxPGpnsJQul1uK6c5C4cQqgieFpkfysAgPslxsVRCV8mCova5RUxptT+h5tutkcNhb85jmQW25rXhA==" saltValue="uJhLt50gINO+7imqIe9CF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75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391</v>
      </c>
      <c r="B1" s="78"/>
      <c r="G1" s="217"/>
    </row>
    <row r="2" spans="1:12" ht="16.5" thickTop="1" thickBot="1" x14ac:dyDescent="0.3">
      <c r="A2" s="133" t="s">
        <v>3</v>
      </c>
      <c r="B2" s="111">
        <v>600000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45.75" thickTop="1" x14ac:dyDescent="0.25">
      <c r="A5" s="104" t="s">
        <v>496</v>
      </c>
      <c r="B5" s="105" t="s">
        <v>205</v>
      </c>
      <c r="C5" s="105" t="s">
        <v>395</v>
      </c>
      <c r="D5" s="106">
        <v>42830</v>
      </c>
      <c r="E5" s="106">
        <v>42872</v>
      </c>
      <c r="F5" s="105" t="s">
        <v>601</v>
      </c>
      <c r="G5" s="80">
        <v>2</v>
      </c>
      <c r="H5" s="81">
        <v>2</v>
      </c>
      <c r="I5" s="82">
        <v>64</v>
      </c>
      <c r="J5"/>
      <c r="L5"/>
    </row>
    <row r="6" spans="1:12" s="83" customFormat="1" ht="30" x14ac:dyDescent="0.25">
      <c r="A6" s="104" t="s">
        <v>466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4</v>
      </c>
      <c r="H6" s="85">
        <v>4</v>
      </c>
      <c r="I6" s="86">
        <v>40</v>
      </c>
      <c r="K6"/>
    </row>
    <row r="7" spans="1:12" s="83" customFormat="1" x14ac:dyDescent="0.25">
      <c r="A7" s="104" t="s">
        <v>538</v>
      </c>
      <c r="B7" s="105" t="s">
        <v>205</v>
      </c>
      <c r="C7" s="105" t="s">
        <v>435</v>
      </c>
      <c r="D7" s="106">
        <v>42835</v>
      </c>
      <c r="E7" s="106">
        <v>42895</v>
      </c>
      <c r="F7" s="105" t="s">
        <v>601</v>
      </c>
      <c r="G7" s="84">
        <v>50</v>
      </c>
      <c r="H7" s="85">
        <v>50</v>
      </c>
      <c r="I7" s="86">
        <v>14.000000000000002</v>
      </c>
    </row>
    <row r="8" spans="1:12" s="87" customFormat="1" x14ac:dyDescent="0.25">
      <c r="A8" s="104" t="s">
        <v>570</v>
      </c>
      <c r="B8" s="105" t="s">
        <v>205</v>
      </c>
      <c r="C8" s="105" t="s">
        <v>596</v>
      </c>
      <c r="D8" s="106">
        <v>42577</v>
      </c>
      <c r="E8" s="106">
        <v>42970</v>
      </c>
      <c r="F8" s="105" t="s">
        <v>601</v>
      </c>
      <c r="G8" s="84">
        <v>1</v>
      </c>
      <c r="H8" s="85">
        <v>1</v>
      </c>
      <c r="I8" s="86">
        <v>42.73</v>
      </c>
    </row>
    <row r="9" spans="1:12" s="87" customFormat="1" x14ac:dyDescent="0.25">
      <c r="A9" s="104" t="s">
        <v>541</v>
      </c>
      <c r="B9" s="105" t="s">
        <v>205</v>
      </c>
      <c r="C9" s="105" t="s">
        <v>600</v>
      </c>
      <c r="D9" s="106">
        <v>42577</v>
      </c>
      <c r="E9" s="106">
        <v>42933</v>
      </c>
      <c r="F9" s="105" t="s">
        <v>601</v>
      </c>
      <c r="G9" s="84">
        <v>2</v>
      </c>
      <c r="H9" s="85">
        <v>2</v>
      </c>
      <c r="I9" s="86">
        <v>3.64</v>
      </c>
    </row>
    <row r="10" spans="1:12" s="90" customFormat="1" x14ac:dyDescent="0.25">
      <c r="A10" s="104" t="s">
        <v>553</v>
      </c>
      <c r="B10" s="105" t="s">
        <v>205</v>
      </c>
      <c r="C10" s="105" t="s">
        <v>600</v>
      </c>
      <c r="D10" s="106">
        <v>42577</v>
      </c>
      <c r="E10" s="106">
        <v>42933</v>
      </c>
      <c r="F10" s="105" t="s">
        <v>601</v>
      </c>
      <c r="G10" s="84">
        <v>1</v>
      </c>
      <c r="H10" s="85">
        <v>1</v>
      </c>
      <c r="I10" s="86">
        <v>2.17</v>
      </c>
    </row>
    <row r="11" spans="1:12" ht="30" x14ac:dyDescent="0.25">
      <c r="A11" s="104" t="s">
        <v>297</v>
      </c>
      <c r="B11" s="105" t="s">
        <v>205</v>
      </c>
      <c r="C11" s="105" t="s">
        <v>589</v>
      </c>
      <c r="D11" s="106">
        <v>42577</v>
      </c>
      <c r="E11" s="106">
        <v>42976</v>
      </c>
      <c r="F11" s="105" t="s">
        <v>601</v>
      </c>
      <c r="G11" s="84">
        <v>2</v>
      </c>
      <c r="H11" s="85">
        <v>2</v>
      </c>
      <c r="I11" s="86">
        <v>6.7</v>
      </c>
    </row>
    <row r="12" spans="1:12" ht="30.75" thickBot="1" x14ac:dyDescent="0.3">
      <c r="A12" s="104" t="s">
        <v>299</v>
      </c>
      <c r="B12" s="105" t="s">
        <v>205</v>
      </c>
      <c r="C12" s="105" t="s">
        <v>589</v>
      </c>
      <c r="D12" s="106">
        <v>42577</v>
      </c>
      <c r="E12" s="106">
        <v>42976</v>
      </c>
      <c r="F12" s="105" t="s">
        <v>601</v>
      </c>
      <c r="G12" s="84">
        <v>2</v>
      </c>
      <c r="H12" s="85">
        <v>2</v>
      </c>
      <c r="I12" s="86">
        <v>10.24</v>
      </c>
    </row>
    <row r="13" spans="1:12" ht="16.5" thickTop="1" thickBot="1" x14ac:dyDescent="0.3">
      <c r="A13" s="107" t="s">
        <v>199</v>
      </c>
      <c r="B13" s="108"/>
      <c r="C13" s="108"/>
      <c r="D13" s="108"/>
      <c r="E13" s="108"/>
      <c r="F13" s="109"/>
      <c r="G13" s="88">
        <v>64</v>
      </c>
      <c r="H13" s="96">
        <v>64</v>
      </c>
      <c r="I13" s="89">
        <v>183.47999999999996</v>
      </c>
    </row>
    <row r="14" spans="1:12" ht="15.75" thickTop="1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ht="15.75" thickBot="1" x14ac:dyDescent="0.3">
      <c r="B77"/>
      <c r="C77"/>
      <c r="D77"/>
      <c r="E77"/>
    </row>
    <row r="78" spans="2:5" ht="16.5" thickTop="1" thickBot="1" x14ac:dyDescent="0.3">
      <c r="B78"/>
      <c r="C78"/>
      <c r="D78"/>
      <c r="E78"/>
    </row>
    <row r="79" spans="2:5" ht="15.75" thickTop="1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EBoPyUpYlFFbKa/tOZJBz0ju5u17m4Z6AjREwqvmHLma1gpKoNI5Og2eP4nhjPYUmQgVTfCgjppr1ZfshIMBGw==" saltValue="709uFxNFroDFmaNlcHYUJ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"/>
  <sheetViews>
    <sheetView topLeftCell="J1" zoomScale="98" zoomScaleNormal="98" workbookViewId="0">
      <pane ySplit="1" topLeftCell="A2" activePane="bottomLeft" state="frozen"/>
      <selection pane="bottomLeft" activeCell="O534" sqref="O534"/>
    </sheetView>
  </sheetViews>
  <sheetFormatPr defaultRowHeight="15" x14ac:dyDescent="0.25"/>
  <cols>
    <col min="1" max="1" width="22.5703125" customWidth="1"/>
    <col min="3" max="3" width="23.28515625" customWidth="1"/>
    <col min="4" max="4" width="10.85546875" style="74" customWidth="1"/>
    <col min="5" max="5" width="48.7109375" customWidth="1"/>
    <col min="6" max="6" width="6.42578125" style="74" customWidth="1"/>
    <col min="7" max="7" width="54" style="83" customWidth="1"/>
    <col min="8" max="8" width="19.28515625" style="72" customWidth="1"/>
    <col min="9" max="9" width="11.7109375" style="74" customWidth="1"/>
    <col min="10" max="10" width="13" style="74" customWidth="1"/>
    <col min="11" max="11" width="12.5703125" style="76" customWidth="1"/>
    <col min="12" max="12" width="13.42578125" style="74" customWidth="1"/>
    <col min="13" max="13" width="18.42578125" style="74" customWidth="1"/>
    <col min="14" max="14" width="16.42578125" style="74" customWidth="1"/>
    <col min="15" max="15" width="15.5703125" style="76" customWidth="1"/>
    <col min="16" max="16" width="21.42578125" style="74" customWidth="1"/>
    <col min="17" max="17" width="21.140625" style="74" customWidth="1"/>
    <col min="18" max="18" width="22.140625" style="74" customWidth="1"/>
    <col min="19" max="19" width="19.85546875" style="74" customWidth="1"/>
    <col min="20" max="20" width="39.5703125" style="79" customWidth="1"/>
  </cols>
  <sheetData>
    <row r="1" spans="1:21" ht="74.25" customHeight="1" x14ac:dyDescent="0.25">
      <c r="A1" s="101" t="s">
        <v>0</v>
      </c>
      <c r="B1" s="101" t="s">
        <v>1</v>
      </c>
      <c r="C1" s="101" t="s">
        <v>2</v>
      </c>
      <c r="D1" s="102" t="s">
        <v>3</v>
      </c>
      <c r="E1" s="102" t="s">
        <v>4</v>
      </c>
      <c r="F1" s="101" t="s">
        <v>5</v>
      </c>
      <c r="G1" s="152" t="s">
        <v>6</v>
      </c>
      <c r="H1" s="102" t="s">
        <v>200</v>
      </c>
      <c r="I1" s="102" t="s">
        <v>7</v>
      </c>
      <c r="J1" s="102" t="s">
        <v>19</v>
      </c>
      <c r="K1" s="1" t="s">
        <v>8</v>
      </c>
      <c r="L1" s="102" t="s">
        <v>9</v>
      </c>
      <c r="M1" s="102" t="s">
        <v>10</v>
      </c>
      <c r="N1" s="1" t="s">
        <v>183</v>
      </c>
      <c r="O1" s="1" t="s">
        <v>11</v>
      </c>
      <c r="P1" s="1" t="s">
        <v>12</v>
      </c>
      <c r="Q1" s="1" t="s">
        <v>13</v>
      </c>
      <c r="R1" s="101" t="s">
        <v>14</v>
      </c>
      <c r="S1" s="102" t="s">
        <v>15</v>
      </c>
      <c r="T1" s="102" t="s">
        <v>16</v>
      </c>
      <c r="U1" s="2"/>
    </row>
    <row r="2" spans="1:21" ht="33.75" customHeight="1" x14ac:dyDescent="0.25">
      <c r="A2" s="134" t="s">
        <v>380</v>
      </c>
      <c r="B2" s="134" t="s">
        <v>23</v>
      </c>
      <c r="C2" s="134" t="s">
        <v>381</v>
      </c>
      <c r="D2" s="135">
        <v>180000</v>
      </c>
      <c r="E2" s="134" t="s">
        <v>18</v>
      </c>
      <c r="F2" s="134">
        <v>37</v>
      </c>
      <c r="G2" s="153" t="s">
        <v>438</v>
      </c>
      <c r="H2" s="134"/>
      <c r="I2" s="134">
        <v>2</v>
      </c>
      <c r="J2" s="136"/>
      <c r="K2" s="137">
        <f>VLOOKUP(F2,Plan2!$1:$1048576,8,FALSE)</f>
        <v>6.88</v>
      </c>
      <c r="L2" s="136">
        <v>42830</v>
      </c>
      <c r="M2" s="134" t="s">
        <v>396</v>
      </c>
      <c r="N2" s="134">
        <v>2</v>
      </c>
      <c r="O2" s="138">
        <f>N2*K2</f>
        <v>13.76</v>
      </c>
      <c r="P2" s="139">
        <v>42859</v>
      </c>
      <c r="Q2" s="165" t="s">
        <v>612</v>
      </c>
      <c r="R2" s="134">
        <v>339030</v>
      </c>
      <c r="S2" s="134">
        <v>35</v>
      </c>
      <c r="T2" s="134" t="s">
        <v>601</v>
      </c>
      <c r="U2" s="141"/>
    </row>
    <row r="3" spans="1:21" ht="33.75" customHeight="1" x14ac:dyDescent="0.25">
      <c r="A3" s="134" t="s">
        <v>380</v>
      </c>
      <c r="B3" s="134" t="s">
        <v>23</v>
      </c>
      <c r="C3" s="134" t="s">
        <v>381</v>
      </c>
      <c r="D3" s="135">
        <v>180000</v>
      </c>
      <c r="E3" s="134" t="s">
        <v>18</v>
      </c>
      <c r="F3" s="134">
        <v>38</v>
      </c>
      <c r="G3" s="153" t="s">
        <v>439</v>
      </c>
      <c r="H3" s="134"/>
      <c r="I3" s="134">
        <v>2</v>
      </c>
      <c r="J3" s="136"/>
      <c r="K3" s="137">
        <f>VLOOKUP(F3,Plan2!$1:$1048576,8,FALSE)</f>
        <v>14.88</v>
      </c>
      <c r="L3" s="136">
        <v>42830</v>
      </c>
      <c r="M3" s="134" t="s">
        <v>396</v>
      </c>
      <c r="N3" s="134">
        <v>2</v>
      </c>
      <c r="O3" s="138">
        <f t="shared" ref="O3:O66" si="0">N3*K3</f>
        <v>29.76</v>
      </c>
      <c r="P3" s="139">
        <v>42859</v>
      </c>
      <c r="Q3" s="168" t="s">
        <v>612</v>
      </c>
      <c r="R3" s="134">
        <v>339030</v>
      </c>
      <c r="S3" s="134">
        <v>35</v>
      </c>
      <c r="T3" s="134" t="s">
        <v>601</v>
      </c>
      <c r="U3" s="141"/>
    </row>
    <row r="4" spans="1:21" ht="33.75" customHeight="1" x14ac:dyDescent="0.25">
      <c r="A4" s="134" t="s">
        <v>380</v>
      </c>
      <c r="B4" s="134" t="s">
        <v>23</v>
      </c>
      <c r="C4" s="134" t="s">
        <v>381</v>
      </c>
      <c r="D4" s="135">
        <v>180000</v>
      </c>
      <c r="E4" s="134" t="s">
        <v>18</v>
      </c>
      <c r="F4" s="134">
        <v>43</v>
      </c>
      <c r="G4" s="153" t="s">
        <v>440</v>
      </c>
      <c r="H4" s="134"/>
      <c r="I4" s="134">
        <v>1</v>
      </c>
      <c r="J4" s="136"/>
      <c r="K4" s="137">
        <f>VLOOKUP(F4,Plan2!$1:$1048576,8,FALSE)</f>
        <v>178</v>
      </c>
      <c r="L4" s="136">
        <v>42830</v>
      </c>
      <c r="M4" s="134" t="s">
        <v>399</v>
      </c>
      <c r="N4" s="134">
        <v>1</v>
      </c>
      <c r="O4" s="138">
        <f t="shared" si="0"/>
        <v>178</v>
      </c>
      <c r="P4" s="139">
        <v>42894</v>
      </c>
      <c r="Q4" s="168" t="s">
        <v>602</v>
      </c>
      <c r="R4" s="134">
        <v>339030</v>
      </c>
      <c r="S4" s="134">
        <v>35</v>
      </c>
      <c r="T4" s="134" t="s">
        <v>601</v>
      </c>
      <c r="U4" s="141"/>
    </row>
    <row r="5" spans="1:21" ht="46.5" customHeight="1" x14ac:dyDescent="0.25">
      <c r="A5" s="134" t="s">
        <v>380</v>
      </c>
      <c r="B5" s="134" t="s">
        <v>23</v>
      </c>
      <c r="C5" s="134" t="s">
        <v>381</v>
      </c>
      <c r="D5" s="135">
        <v>180000</v>
      </c>
      <c r="E5" s="134" t="s">
        <v>18</v>
      </c>
      <c r="F5" s="134">
        <v>47</v>
      </c>
      <c r="G5" s="153" t="s">
        <v>441</v>
      </c>
      <c r="H5" s="134"/>
      <c r="I5" s="134">
        <v>5</v>
      </c>
      <c r="J5" s="136"/>
      <c r="K5" s="137">
        <f>VLOOKUP(F5,Plan2!$1:$1048576,8,FALSE)</f>
        <v>1.98</v>
      </c>
      <c r="L5" s="136">
        <v>42830</v>
      </c>
      <c r="M5" s="134" t="s">
        <v>400</v>
      </c>
      <c r="N5" s="134">
        <v>5</v>
      </c>
      <c r="O5" s="138">
        <f t="shared" si="0"/>
        <v>9.9</v>
      </c>
      <c r="P5" s="139">
        <v>42872</v>
      </c>
      <c r="Q5" s="168" t="s">
        <v>611</v>
      </c>
      <c r="R5" s="134">
        <v>339030</v>
      </c>
      <c r="S5" s="134">
        <v>35</v>
      </c>
      <c r="T5" s="134" t="s">
        <v>601</v>
      </c>
      <c r="U5" s="141"/>
    </row>
    <row r="6" spans="1:21" ht="46.5" customHeight="1" x14ac:dyDescent="0.25">
      <c r="A6" s="134" t="s">
        <v>380</v>
      </c>
      <c r="B6" s="134" t="s">
        <v>23</v>
      </c>
      <c r="C6" s="134" t="s">
        <v>381</v>
      </c>
      <c r="D6" s="135">
        <v>180000</v>
      </c>
      <c r="E6" s="134" t="s">
        <v>18</v>
      </c>
      <c r="F6" s="134">
        <v>58</v>
      </c>
      <c r="G6" s="153" t="s">
        <v>442</v>
      </c>
      <c r="H6" s="134"/>
      <c r="I6" s="134">
        <v>2</v>
      </c>
      <c r="J6" s="136"/>
      <c r="K6" s="137">
        <f>VLOOKUP(F6,Plan2!$1:$1048576,8,FALSE)</f>
        <v>24</v>
      </c>
      <c r="L6" s="136">
        <v>42830</v>
      </c>
      <c r="M6" s="134" t="s">
        <v>396</v>
      </c>
      <c r="N6" s="134">
        <v>2</v>
      </c>
      <c r="O6" s="138">
        <f t="shared" si="0"/>
        <v>48</v>
      </c>
      <c r="P6" s="139">
        <v>42859</v>
      </c>
      <c r="Q6" s="168" t="s">
        <v>612</v>
      </c>
      <c r="R6" s="134">
        <v>339030</v>
      </c>
      <c r="S6" s="134">
        <v>35</v>
      </c>
      <c r="T6" s="134" t="s">
        <v>601</v>
      </c>
      <c r="U6" s="141"/>
    </row>
    <row r="7" spans="1:21" ht="37.5" customHeight="1" x14ac:dyDescent="0.25">
      <c r="A7" s="134" t="s">
        <v>380</v>
      </c>
      <c r="B7" s="134" t="s">
        <v>23</v>
      </c>
      <c r="C7" s="134" t="s">
        <v>381</v>
      </c>
      <c r="D7" s="135">
        <v>180000</v>
      </c>
      <c r="E7" s="134" t="s">
        <v>18</v>
      </c>
      <c r="F7" s="134">
        <v>81</v>
      </c>
      <c r="G7" s="153" t="s">
        <v>443</v>
      </c>
      <c r="H7" s="134"/>
      <c r="I7" s="134">
        <v>5</v>
      </c>
      <c r="J7" s="136"/>
      <c r="K7" s="137">
        <f>VLOOKUP(F7,Plan2!$1:$1048576,8,FALSE)</f>
        <v>9.85</v>
      </c>
      <c r="L7" s="136">
        <v>42830</v>
      </c>
      <c r="M7" s="134" t="s">
        <v>396</v>
      </c>
      <c r="N7" s="134">
        <v>5</v>
      </c>
      <c r="O7" s="138">
        <f t="shared" si="0"/>
        <v>49.25</v>
      </c>
      <c r="P7" s="139">
        <v>42859</v>
      </c>
      <c r="Q7" s="168" t="s">
        <v>612</v>
      </c>
      <c r="R7" s="134">
        <v>339030</v>
      </c>
      <c r="S7" s="134">
        <v>35</v>
      </c>
      <c r="T7" s="134" t="s">
        <v>601</v>
      </c>
      <c r="U7" s="141"/>
    </row>
    <row r="8" spans="1:21" ht="32.25" customHeight="1" x14ac:dyDescent="0.25">
      <c r="A8" s="134" t="s">
        <v>380</v>
      </c>
      <c r="B8" s="134" t="s">
        <v>23</v>
      </c>
      <c r="C8" s="134" t="s">
        <v>381</v>
      </c>
      <c r="D8" s="135">
        <v>180000</v>
      </c>
      <c r="E8" s="134" t="s">
        <v>18</v>
      </c>
      <c r="F8" s="134">
        <v>54</v>
      </c>
      <c r="G8" s="153" t="s">
        <v>444</v>
      </c>
      <c r="H8" s="134"/>
      <c r="I8" s="134">
        <v>5</v>
      </c>
      <c r="J8" s="136"/>
      <c r="K8" s="137">
        <f>VLOOKUP(F8,Plan2!$1:$1048576,8,FALSE)</f>
        <v>3.99</v>
      </c>
      <c r="L8" s="136">
        <v>42830</v>
      </c>
      <c r="M8" s="134" t="s">
        <v>396</v>
      </c>
      <c r="N8" s="134">
        <v>5</v>
      </c>
      <c r="O8" s="138">
        <f t="shared" si="0"/>
        <v>19.950000000000003</v>
      </c>
      <c r="P8" s="139">
        <v>42859</v>
      </c>
      <c r="Q8" s="168" t="s">
        <v>612</v>
      </c>
      <c r="R8" s="134">
        <v>339030</v>
      </c>
      <c r="S8" s="134">
        <v>35</v>
      </c>
      <c r="T8" s="134" t="s">
        <v>601</v>
      </c>
      <c r="U8" s="141"/>
    </row>
    <row r="9" spans="1:21" ht="46.5" customHeight="1" x14ac:dyDescent="0.25">
      <c r="A9" s="134" t="s">
        <v>380</v>
      </c>
      <c r="B9" s="134" t="s">
        <v>23</v>
      </c>
      <c r="C9" s="134" t="s">
        <v>381</v>
      </c>
      <c r="D9" s="135">
        <v>180000</v>
      </c>
      <c r="E9" s="134" t="s">
        <v>18</v>
      </c>
      <c r="F9" s="134">
        <v>56</v>
      </c>
      <c r="G9" s="153" t="s">
        <v>445</v>
      </c>
      <c r="H9" s="134"/>
      <c r="I9" s="134">
        <v>5</v>
      </c>
      <c r="J9" s="136"/>
      <c r="K9" s="137">
        <f>VLOOKUP(F9,Plan2!$1:$1048576,8,FALSE)</f>
        <v>7.2</v>
      </c>
      <c r="L9" s="136">
        <v>42830</v>
      </c>
      <c r="M9" s="134" t="s">
        <v>396</v>
      </c>
      <c r="N9" s="134">
        <v>5</v>
      </c>
      <c r="O9" s="138">
        <f t="shared" si="0"/>
        <v>36</v>
      </c>
      <c r="P9" s="139">
        <v>42859</v>
      </c>
      <c r="Q9" s="168" t="s">
        <v>612</v>
      </c>
      <c r="R9" s="134">
        <v>339030</v>
      </c>
      <c r="S9" s="134">
        <v>35</v>
      </c>
      <c r="T9" s="134" t="s">
        <v>601</v>
      </c>
      <c r="U9" s="141"/>
    </row>
    <row r="10" spans="1:21" ht="46.5" customHeight="1" x14ac:dyDescent="0.25">
      <c r="A10" s="134" t="s">
        <v>380</v>
      </c>
      <c r="B10" s="134" t="s">
        <v>23</v>
      </c>
      <c r="C10" s="134" t="s">
        <v>381</v>
      </c>
      <c r="D10" s="135">
        <v>180000</v>
      </c>
      <c r="E10" s="134" t="s">
        <v>18</v>
      </c>
      <c r="F10" s="134">
        <v>98</v>
      </c>
      <c r="G10" s="153" t="s">
        <v>446</v>
      </c>
      <c r="H10" s="134"/>
      <c r="I10" s="134">
        <v>5</v>
      </c>
      <c r="J10" s="136"/>
      <c r="K10" s="137">
        <f>VLOOKUP(F10,Plan2!$1:$1048576,8,FALSE)</f>
        <v>4.87</v>
      </c>
      <c r="L10" s="136">
        <v>42830</v>
      </c>
      <c r="M10" s="134" t="s">
        <v>396</v>
      </c>
      <c r="N10" s="134">
        <v>5</v>
      </c>
      <c r="O10" s="138">
        <f t="shared" si="0"/>
        <v>24.35</v>
      </c>
      <c r="P10" s="139">
        <v>42859</v>
      </c>
      <c r="Q10" s="168" t="s">
        <v>612</v>
      </c>
      <c r="R10" s="134">
        <v>339030</v>
      </c>
      <c r="S10" s="134">
        <v>35</v>
      </c>
      <c r="T10" s="134" t="s">
        <v>601</v>
      </c>
      <c r="U10" s="141"/>
    </row>
    <row r="11" spans="1:21" ht="46.5" customHeight="1" x14ac:dyDescent="0.25">
      <c r="A11" s="134" t="s">
        <v>380</v>
      </c>
      <c r="B11" s="134" t="s">
        <v>23</v>
      </c>
      <c r="C11" s="134" t="s">
        <v>381</v>
      </c>
      <c r="D11" s="135">
        <v>180000</v>
      </c>
      <c r="E11" s="134" t="s">
        <v>18</v>
      </c>
      <c r="F11" s="134">
        <v>104</v>
      </c>
      <c r="G11" s="153" t="s">
        <v>447</v>
      </c>
      <c r="H11" s="134"/>
      <c r="I11" s="134">
        <v>10</v>
      </c>
      <c r="J11" s="136"/>
      <c r="K11" s="137">
        <f>VLOOKUP(F11,Plan2!$1:$1048576,8,FALSE)</f>
        <v>2.15</v>
      </c>
      <c r="L11" s="136">
        <v>42830</v>
      </c>
      <c r="M11" s="134" t="s">
        <v>396</v>
      </c>
      <c r="N11" s="134">
        <v>10</v>
      </c>
      <c r="O11" s="138">
        <f t="shared" si="0"/>
        <v>21.5</v>
      </c>
      <c r="P11" s="139">
        <v>42859</v>
      </c>
      <c r="Q11" s="168" t="s">
        <v>612</v>
      </c>
      <c r="R11" s="134">
        <v>339030</v>
      </c>
      <c r="S11" s="134">
        <v>35</v>
      </c>
      <c r="T11" s="134" t="s">
        <v>601</v>
      </c>
      <c r="U11" s="141"/>
    </row>
    <row r="12" spans="1:21" ht="46.5" customHeight="1" x14ac:dyDescent="0.25">
      <c r="A12" s="134" t="s">
        <v>380</v>
      </c>
      <c r="B12" s="134" t="s">
        <v>23</v>
      </c>
      <c r="C12" s="134" t="s">
        <v>381</v>
      </c>
      <c r="D12" s="135">
        <v>180000</v>
      </c>
      <c r="E12" s="134" t="s">
        <v>18</v>
      </c>
      <c r="F12" s="134">
        <v>100</v>
      </c>
      <c r="G12" s="153" t="s">
        <v>448</v>
      </c>
      <c r="H12" s="134"/>
      <c r="I12" s="134">
        <v>10</v>
      </c>
      <c r="J12" s="136"/>
      <c r="K12" s="137">
        <f>VLOOKUP(F12,Plan2!$1:$1048576,8,FALSE)</f>
        <v>3.52</v>
      </c>
      <c r="L12" s="136">
        <v>42830</v>
      </c>
      <c r="M12" s="134" t="s">
        <v>400</v>
      </c>
      <c r="N12" s="134">
        <v>10</v>
      </c>
      <c r="O12" s="138">
        <f t="shared" si="0"/>
        <v>35.200000000000003</v>
      </c>
      <c r="P12" s="139">
        <v>42872</v>
      </c>
      <c r="Q12" s="168" t="s">
        <v>611</v>
      </c>
      <c r="R12" s="134">
        <v>339030</v>
      </c>
      <c r="S12" s="134">
        <v>35</v>
      </c>
      <c r="T12" s="134" t="s">
        <v>601</v>
      </c>
      <c r="U12" s="141"/>
    </row>
    <row r="13" spans="1:21" ht="46.5" customHeight="1" x14ac:dyDescent="0.25">
      <c r="A13" s="134" t="s">
        <v>380</v>
      </c>
      <c r="B13" s="134" t="s">
        <v>23</v>
      </c>
      <c r="C13" s="134" t="s">
        <v>381</v>
      </c>
      <c r="D13" s="135">
        <v>180000</v>
      </c>
      <c r="E13" s="134" t="s">
        <v>18</v>
      </c>
      <c r="F13" s="134">
        <v>92</v>
      </c>
      <c r="G13" s="153" t="s">
        <v>449</v>
      </c>
      <c r="H13" s="134"/>
      <c r="I13" s="134">
        <v>5</v>
      </c>
      <c r="J13" s="136"/>
      <c r="K13" s="137">
        <f>VLOOKUP(F13,Plan2!$1:$1048576,8,FALSE)</f>
        <v>5.7</v>
      </c>
      <c r="L13" s="136">
        <v>42830</v>
      </c>
      <c r="M13" s="134" t="s">
        <v>399</v>
      </c>
      <c r="N13" s="134">
        <v>5</v>
      </c>
      <c r="O13" s="138">
        <f t="shared" si="0"/>
        <v>28.5</v>
      </c>
      <c r="P13" s="139">
        <v>42894</v>
      </c>
      <c r="Q13" s="168" t="s">
        <v>602</v>
      </c>
      <c r="R13" s="134">
        <v>339030</v>
      </c>
      <c r="S13" s="134">
        <v>35</v>
      </c>
      <c r="T13" s="134" t="s">
        <v>601</v>
      </c>
      <c r="U13" s="141"/>
    </row>
    <row r="14" spans="1:21" ht="46.5" customHeight="1" x14ac:dyDescent="0.25">
      <c r="A14" s="134" t="s">
        <v>380</v>
      </c>
      <c r="B14" s="134" t="s">
        <v>23</v>
      </c>
      <c r="C14" s="134" t="s">
        <v>381</v>
      </c>
      <c r="D14" s="135">
        <v>180000</v>
      </c>
      <c r="E14" s="134" t="s">
        <v>18</v>
      </c>
      <c r="F14" s="134">
        <v>118</v>
      </c>
      <c r="G14" s="153" t="s">
        <v>450</v>
      </c>
      <c r="H14" s="134"/>
      <c r="I14" s="134">
        <v>2</v>
      </c>
      <c r="J14" s="136"/>
      <c r="K14" s="137">
        <f>VLOOKUP(F14,Plan2!$1:$1048576,8,FALSE)</f>
        <v>102</v>
      </c>
      <c r="L14" s="136">
        <v>42830</v>
      </c>
      <c r="M14" s="134" t="s">
        <v>396</v>
      </c>
      <c r="N14" s="134">
        <v>2</v>
      </c>
      <c r="O14" s="138">
        <f t="shared" si="0"/>
        <v>204</v>
      </c>
      <c r="P14" s="139">
        <v>42859</v>
      </c>
      <c r="Q14" s="168" t="s">
        <v>612</v>
      </c>
      <c r="R14" s="134">
        <v>339030</v>
      </c>
      <c r="S14" s="134">
        <v>35</v>
      </c>
      <c r="T14" s="134" t="s">
        <v>601</v>
      </c>
      <c r="U14" s="141"/>
    </row>
    <row r="15" spans="1:21" ht="46.5" customHeight="1" x14ac:dyDescent="0.25">
      <c r="A15" s="134" t="s">
        <v>380</v>
      </c>
      <c r="B15" s="134" t="s">
        <v>23</v>
      </c>
      <c r="C15" s="134" t="s">
        <v>381</v>
      </c>
      <c r="D15" s="135">
        <v>180000</v>
      </c>
      <c r="E15" s="134" t="s">
        <v>18</v>
      </c>
      <c r="F15" s="134">
        <v>117</v>
      </c>
      <c r="G15" s="153" t="s">
        <v>451</v>
      </c>
      <c r="H15" s="134"/>
      <c r="I15" s="134">
        <v>6</v>
      </c>
      <c r="J15" s="136"/>
      <c r="K15" s="137">
        <f>VLOOKUP(F15,Plan2!$1:$1048576,8,FALSE)</f>
        <v>2.3199999999999998</v>
      </c>
      <c r="L15" s="136">
        <v>42830</v>
      </c>
      <c r="M15" s="134" t="s">
        <v>396</v>
      </c>
      <c r="N15" s="134">
        <v>6</v>
      </c>
      <c r="O15" s="138">
        <f t="shared" si="0"/>
        <v>13.919999999999998</v>
      </c>
      <c r="P15" s="139">
        <v>42859</v>
      </c>
      <c r="Q15" s="168" t="s">
        <v>612</v>
      </c>
      <c r="R15" s="134">
        <v>339030</v>
      </c>
      <c r="S15" s="134">
        <v>35</v>
      </c>
      <c r="T15" s="134" t="s">
        <v>601</v>
      </c>
      <c r="U15" s="141"/>
    </row>
    <row r="16" spans="1:21" ht="46.5" customHeight="1" x14ac:dyDescent="0.25">
      <c r="A16" s="134" t="s">
        <v>380</v>
      </c>
      <c r="B16" s="134" t="s">
        <v>23</v>
      </c>
      <c r="C16" s="134" t="s">
        <v>381</v>
      </c>
      <c r="D16" s="135">
        <v>180000</v>
      </c>
      <c r="E16" s="134" t="s">
        <v>18</v>
      </c>
      <c r="F16" s="134">
        <v>119</v>
      </c>
      <c r="G16" s="153" t="s">
        <v>452</v>
      </c>
      <c r="H16" s="134"/>
      <c r="I16" s="134">
        <v>1</v>
      </c>
      <c r="J16" s="136"/>
      <c r="K16" s="137">
        <f>VLOOKUP(F16,Plan2!$1:$1048576,8,FALSE)</f>
        <v>204.99</v>
      </c>
      <c r="L16" s="136">
        <v>42830</v>
      </c>
      <c r="M16" s="134" t="s">
        <v>397</v>
      </c>
      <c r="N16" s="134">
        <v>1</v>
      </c>
      <c r="O16" s="138">
        <f t="shared" si="0"/>
        <v>204.99</v>
      </c>
      <c r="P16" s="139">
        <v>42913</v>
      </c>
      <c r="Q16" s="168" t="s">
        <v>613</v>
      </c>
      <c r="R16" s="134">
        <v>339030</v>
      </c>
      <c r="S16" s="134">
        <v>35</v>
      </c>
      <c r="T16" s="134" t="s">
        <v>601</v>
      </c>
      <c r="U16" s="141"/>
    </row>
    <row r="17" spans="1:21" ht="46.5" customHeight="1" x14ac:dyDescent="0.25">
      <c r="A17" s="134" t="s">
        <v>380</v>
      </c>
      <c r="B17" s="134" t="s">
        <v>23</v>
      </c>
      <c r="C17" s="134" t="s">
        <v>381</v>
      </c>
      <c r="D17" s="135">
        <v>180000</v>
      </c>
      <c r="E17" s="134" t="s">
        <v>18</v>
      </c>
      <c r="F17" s="134">
        <v>120</v>
      </c>
      <c r="G17" s="153" t="s">
        <v>453</v>
      </c>
      <c r="H17" s="134"/>
      <c r="I17" s="134">
        <v>5</v>
      </c>
      <c r="J17" s="136"/>
      <c r="K17" s="137">
        <f>VLOOKUP(F17,Plan2!$1:$1048576,8,FALSE)</f>
        <v>2.2000000000000002</v>
      </c>
      <c r="L17" s="136">
        <v>42830</v>
      </c>
      <c r="M17" s="134" t="s">
        <v>396</v>
      </c>
      <c r="N17" s="134">
        <v>5</v>
      </c>
      <c r="O17" s="138">
        <f t="shared" si="0"/>
        <v>11</v>
      </c>
      <c r="P17" s="139">
        <v>42859</v>
      </c>
      <c r="Q17" s="168" t="s">
        <v>612</v>
      </c>
      <c r="R17" s="134">
        <v>339030</v>
      </c>
      <c r="S17" s="134">
        <v>35</v>
      </c>
      <c r="T17" s="134" t="s">
        <v>601</v>
      </c>
      <c r="U17" s="141"/>
    </row>
    <row r="18" spans="1:21" ht="46.5" customHeight="1" x14ac:dyDescent="0.25">
      <c r="A18" s="134" t="s">
        <v>380</v>
      </c>
      <c r="B18" s="134" t="s">
        <v>23</v>
      </c>
      <c r="C18" s="134" t="s">
        <v>381</v>
      </c>
      <c r="D18" s="135">
        <v>180000</v>
      </c>
      <c r="E18" s="134" t="s">
        <v>18</v>
      </c>
      <c r="F18" s="134">
        <v>124</v>
      </c>
      <c r="G18" s="153" t="s">
        <v>454</v>
      </c>
      <c r="H18" s="134"/>
      <c r="I18" s="134">
        <v>5</v>
      </c>
      <c r="J18" s="136"/>
      <c r="K18" s="137">
        <f>VLOOKUP(F18,Plan2!$1:$1048576,8,FALSE)</f>
        <v>5.99</v>
      </c>
      <c r="L18" s="136">
        <v>41734</v>
      </c>
      <c r="M18" s="134" t="s">
        <v>396</v>
      </c>
      <c r="N18" s="134">
        <v>5</v>
      </c>
      <c r="O18" s="138">
        <f t="shared" si="0"/>
        <v>29.950000000000003</v>
      </c>
      <c r="P18" s="139">
        <v>42859</v>
      </c>
      <c r="Q18" s="168" t="s">
        <v>612</v>
      </c>
      <c r="R18" s="134">
        <v>339030</v>
      </c>
      <c r="S18" s="134">
        <v>35</v>
      </c>
      <c r="T18" s="134" t="s">
        <v>601</v>
      </c>
      <c r="U18" s="141"/>
    </row>
    <row r="19" spans="1:21" ht="46.5" customHeight="1" x14ac:dyDescent="0.25">
      <c r="A19" s="134" t="s">
        <v>380</v>
      </c>
      <c r="B19" s="134" t="s">
        <v>23</v>
      </c>
      <c r="C19" s="134" t="s">
        <v>381</v>
      </c>
      <c r="D19" s="135">
        <v>180000</v>
      </c>
      <c r="E19" s="134" t="s">
        <v>18</v>
      </c>
      <c r="F19" s="134">
        <v>1</v>
      </c>
      <c r="G19" s="153" t="s">
        <v>455</v>
      </c>
      <c r="H19" s="134"/>
      <c r="I19" s="134">
        <v>1</v>
      </c>
      <c r="J19" s="136"/>
      <c r="K19" s="137">
        <f>VLOOKUP(F19,Plan2!$1:$1048576,8,FALSE)</f>
        <v>1020</v>
      </c>
      <c r="L19" s="136">
        <v>42830</v>
      </c>
      <c r="M19" s="134" t="s">
        <v>396</v>
      </c>
      <c r="N19" s="134">
        <v>1</v>
      </c>
      <c r="O19" s="138">
        <f t="shared" si="0"/>
        <v>1020</v>
      </c>
      <c r="P19" s="139">
        <v>42859</v>
      </c>
      <c r="Q19" s="168" t="s">
        <v>612</v>
      </c>
      <c r="R19" s="134">
        <v>339030</v>
      </c>
      <c r="S19" s="134">
        <v>35</v>
      </c>
      <c r="T19" s="134" t="s">
        <v>601</v>
      </c>
      <c r="U19" s="141"/>
    </row>
    <row r="20" spans="1:21" ht="46.5" customHeight="1" x14ac:dyDescent="0.25">
      <c r="A20" s="134" t="s">
        <v>380</v>
      </c>
      <c r="B20" s="134" t="s">
        <v>23</v>
      </c>
      <c r="C20" s="134" t="s">
        <v>381</v>
      </c>
      <c r="D20" s="135">
        <v>220410</v>
      </c>
      <c r="E20" s="134" t="s">
        <v>382</v>
      </c>
      <c r="F20" s="134">
        <v>112</v>
      </c>
      <c r="G20" s="153" t="s">
        <v>456</v>
      </c>
      <c r="H20" s="134"/>
      <c r="I20" s="134">
        <v>2</v>
      </c>
      <c r="J20" s="136"/>
      <c r="K20" s="138">
        <f>VLOOKUP(F20,Plan2!$1:$1048576,8,FALSE)</f>
        <v>335</v>
      </c>
      <c r="L20" s="136">
        <v>42830</v>
      </c>
      <c r="M20" s="134" t="s">
        <v>402</v>
      </c>
      <c r="N20" s="134">
        <v>2</v>
      </c>
      <c r="O20" s="138">
        <f t="shared" si="0"/>
        <v>670</v>
      </c>
      <c r="P20" s="139">
        <v>42859</v>
      </c>
      <c r="Q20" s="165" t="s">
        <v>612</v>
      </c>
      <c r="R20" s="134">
        <v>339030</v>
      </c>
      <c r="S20" s="134">
        <v>35</v>
      </c>
      <c r="T20" s="134" t="s">
        <v>601</v>
      </c>
      <c r="U20" s="141"/>
    </row>
    <row r="21" spans="1:21" ht="46.5" customHeight="1" x14ac:dyDescent="0.25">
      <c r="A21" s="134" t="s">
        <v>380</v>
      </c>
      <c r="B21" s="134" t="s">
        <v>23</v>
      </c>
      <c r="C21" s="134" t="s">
        <v>381</v>
      </c>
      <c r="D21" s="135">
        <v>190000</v>
      </c>
      <c r="E21" s="134" t="s">
        <v>383</v>
      </c>
      <c r="F21" s="134">
        <v>14</v>
      </c>
      <c r="G21" s="153" t="s">
        <v>457</v>
      </c>
      <c r="H21" s="134"/>
      <c r="I21" s="134">
        <v>4</v>
      </c>
      <c r="J21" s="136"/>
      <c r="K21" s="138">
        <f>VLOOKUP(F21,Plan2!$1:$1048576,8,FALSE)</f>
        <v>10.98</v>
      </c>
      <c r="L21" s="136">
        <v>42830</v>
      </c>
      <c r="M21" s="134" t="s">
        <v>401</v>
      </c>
      <c r="N21" s="134">
        <v>4</v>
      </c>
      <c r="O21" s="138">
        <f t="shared" si="0"/>
        <v>43.92</v>
      </c>
      <c r="P21" s="139">
        <v>42859</v>
      </c>
      <c r="Q21" s="140">
        <v>8214</v>
      </c>
      <c r="R21" s="166" t="s">
        <v>612</v>
      </c>
      <c r="S21" s="134">
        <v>35</v>
      </c>
      <c r="T21" s="134" t="s">
        <v>601</v>
      </c>
      <c r="U21" s="141"/>
    </row>
    <row r="22" spans="1:21" ht="46.5" customHeight="1" x14ac:dyDescent="0.25">
      <c r="A22" s="134" t="s">
        <v>380</v>
      </c>
      <c r="B22" s="134" t="s">
        <v>23</v>
      </c>
      <c r="C22" s="134" t="s">
        <v>381</v>
      </c>
      <c r="D22" s="135">
        <v>190000</v>
      </c>
      <c r="E22" s="134" t="s">
        <v>383</v>
      </c>
      <c r="F22" s="134">
        <v>13</v>
      </c>
      <c r="G22" s="153" t="s">
        <v>458</v>
      </c>
      <c r="H22" s="134"/>
      <c r="I22" s="134">
        <v>2</v>
      </c>
      <c r="J22" s="136"/>
      <c r="K22" s="138">
        <f>VLOOKUP(F22,Plan2!$1:$1048576,8,FALSE)</f>
        <v>12.65</v>
      </c>
      <c r="L22" s="136">
        <v>42830</v>
      </c>
      <c r="M22" s="134" t="s">
        <v>401</v>
      </c>
      <c r="N22" s="134">
        <v>2</v>
      </c>
      <c r="O22" s="138">
        <f t="shared" si="0"/>
        <v>25.3</v>
      </c>
      <c r="P22" s="139">
        <v>42859</v>
      </c>
      <c r="Q22" s="140">
        <v>8214</v>
      </c>
      <c r="R22" s="168" t="s">
        <v>612</v>
      </c>
      <c r="S22" s="134">
        <v>35</v>
      </c>
      <c r="T22" s="134" t="s">
        <v>601</v>
      </c>
      <c r="U22" s="141"/>
    </row>
    <row r="23" spans="1:21" ht="46.5" customHeight="1" x14ac:dyDescent="0.25">
      <c r="A23" s="134" t="s">
        <v>380</v>
      </c>
      <c r="B23" s="134" t="s">
        <v>23</v>
      </c>
      <c r="C23" s="134" t="s">
        <v>381</v>
      </c>
      <c r="D23" s="135">
        <v>190000</v>
      </c>
      <c r="E23" s="134" t="s">
        <v>383</v>
      </c>
      <c r="F23" s="134">
        <v>21</v>
      </c>
      <c r="G23" s="153" t="s">
        <v>459</v>
      </c>
      <c r="H23" s="134"/>
      <c r="I23" s="134">
        <v>2</v>
      </c>
      <c r="J23" s="136"/>
      <c r="K23" s="134">
        <f>VLOOKUP(F23,Plan2!$1:$1048576,8,FALSE)</f>
        <v>13</v>
      </c>
      <c r="L23" s="136">
        <v>41734</v>
      </c>
      <c r="M23" s="134" t="s">
        <v>401</v>
      </c>
      <c r="N23" s="134">
        <v>2</v>
      </c>
      <c r="O23" s="138">
        <f t="shared" si="0"/>
        <v>26</v>
      </c>
      <c r="P23" s="139">
        <v>42859</v>
      </c>
      <c r="Q23" s="140">
        <v>8214</v>
      </c>
      <c r="R23" s="168" t="s">
        <v>612</v>
      </c>
      <c r="S23" s="134">
        <v>35</v>
      </c>
      <c r="T23" s="134" t="s">
        <v>601</v>
      </c>
      <c r="U23" s="141"/>
    </row>
    <row r="24" spans="1:21" ht="46.5" customHeight="1" x14ac:dyDescent="0.25">
      <c r="A24" s="134" t="s">
        <v>380</v>
      </c>
      <c r="B24" s="134" t="s">
        <v>23</v>
      </c>
      <c r="C24" s="134" t="s">
        <v>381</v>
      </c>
      <c r="D24" s="135">
        <v>190000</v>
      </c>
      <c r="E24" s="134" t="s">
        <v>383</v>
      </c>
      <c r="F24" s="134">
        <v>28</v>
      </c>
      <c r="G24" s="153" t="s">
        <v>460</v>
      </c>
      <c r="H24" s="134"/>
      <c r="I24" s="134">
        <v>2</v>
      </c>
      <c r="J24" s="136"/>
      <c r="K24" s="134">
        <f>VLOOKUP(F24,Plan2!$1:$1048576,8,FALSE)</f>
        <v>19.04</v>
      </c>
      <c r="L24" s="136">
        <v>42830</v>
      </c>
      <c r="M24" s="134" t="s">
        <v>392</v>
      </c>
      <c r="N24" s="134">
        <v>2</v>
      </c>
      <c r="O24" s="138">
        <f t="shared" si="0"/>
        <v>38.08</v>
      </c>
      <c r="P24" s="167">
        <v>42874</v>
      </c>
      <c r="Q24" s="168" t="s">
        <v>607</v>
      </c>
      <c r="R24" s="174">
        <v>339030</v>
      </c>
      <c r="S24" s="134">
        <v>35</v>
      </c>
      <c r="T24" s="134" t="s">
        <v>601</v>
      </c>
      <c r="U24" s="141"/>
    </row>
    <row r="25" spans="1:21" ht="46.5" customHeight="1" x14ac:dyDescent="0.25">
      <c r="A25" s="134" t="s">
        <v>380</v>
      </c>
      <c r="B25" s="134" t="s">
        <v>23</v>
      </c>
      <c r="C25" s="134" t="s">
        <v>381</v>
      </c>
      <c r="D25" s="135">
        <v>190000</v>
      </c>
      <c r="E25" s="134" t="s">
        <v>383</v>
      </c>
      <c r="F25" s="134">
        <v>30</v>
      </c>
      <c r="G25" s="153" t="s">
        <v>461</v>
      </c>
      <c r="H25" s="134"/>
      <c r="I25" s="134">
        <v>2</v>
      </c>
      <c r="J25" s="136"/>
      <c r="K25" s="138">
        <f>VLOOKUP(F25,Plan2!$1:$1048576,8,FALSE)</f>
        <v>13.98</v>
      </c>
      <c r="L25" s="136">
        <v>42830</v>
      </c>
      <c r="M25" s="134" t="s">
        <v>401</v>
      </c>
      <c r="N25" s="134">
        <v>2</v>
      </c>
      <c r="O25" s="138">
        <f t="shared" si="0"/>
        <v>27.96</v>
      </c>
      <c r="P25" s="139">
        <v>42859</v>
      </c>
      <c r="Q25" s="140">
        <v>8214</v>
      </c>
      <c r="R25" s="168" t="s">
        <v>612</v>
      </c>
      <c r="S25" s="134">
        <v>35</v>
      </c>
      <c r="T25" s="134" t="s">
        <v>601</v>
      </c>
      <c r="U25" s="141"/>
    </row>
    <row r="26" spans="1:21" ht="46.5" customHeight="1" x14ac:dyDescent="0.25">
      <c r="A26" s="134" t="s">
        <v>380</v>
      </c>
      <c r="B26" s="134" t="s">
        <v>23</v>
      </c>
      <c r="C26" s="134" t="s">
        <v>381</v>
      </c>
      <c r="D26" s="135">
        <v>190000</v>
      </c>
      <c r="E26" s="134" t="s">
        <v>383</v>
      </c>
      <c r="F26" s="134">
        <v>38</v>
      </c>
      <c r="G26" s="153" t="s">
        <v>439</v>
      </c>
      <c r="H26" s="134"/>
      <c r="I26" s="134">
        <v>2</v>
      </c>
      <c r="J26" s="136"/>
      <c r="K26" s="138">
        <f>VLOOKUP(F26,Plan2!$1:$1048576,8,FALSE)</f>
        <v>14.88</v>
      </c>
      <c r="L26" s="136">
        <v>41734</v>
      </c>
      <c r="M26" s="134" t="s">
        <v>401</v>
      </c>
      <c r="N26" s="134">
        <v>2</v>
      </c>
      <c r="O26" s="138">
        <f t="shared" si="0"/>
        <v>29.76</v>
      </c>
      <c r="P26" s="139">
        <v>42859</v>
      </c>
      <c r="Q26" s="140">
        <v>8214</v>
      </c>
      <c r="R26" s="168" t="s">
        <v>612</v>
      </c>
      <c r="S26" s="134">
        <v>35</v>
      </c>
      <c r="T26" s="134" t="s">
        <v>601</v>
      </c>
      <c r="U26" s="141"/>
    </row>
    <row r="27" spans="1:21" ht="46.5" customHeight="1" x14ac:dyDescent="0.25">
      <c r="A27" s="134" t="s">
        <v>380</v>
      </c>
      <c r="B27" s="134" t="s">
        <v>23</v>
      </c>
      <c r="C27" s="134" t="s">
        <v>381</v>
      </c>
      <c r="D27" s="135">
        <v>190000</v>
      </c>
      <c r="E27" s="134" t="s">
        <v>383</v>
      </c>
      <c r="F27" s="134">
        <v>58</v>
      </c>
      <c r="G27" s="153" t="s">
        <v>442</v>
      </c>
      <c r="H27" s="134"/>
      <c r="I27" s="134">
        <v>2</v>
      </c>
      <c r="J27" s="136"/>
      <c r="K27" s="138">
        <f>VLOOKUP(F27,Plan2!$1:$1048576,8,FALSE)</f>
        <v>24</v>
      </c>
      <c r="L27" s="136">
        <v>42830</v>
      </c>
      <c r="M27" s="134" t="s">
        <v>402</v>
      </c>
      <c r="N27" s="134">
        <v>2</v>
      </c>
      <c r="O27" s="138">
        <f t="shared" si="0"/>
        <v>48</v>
      </c>
      <c r="P27" s="139">
        <v>42859</v>
      </c>
      <c r="Q27" s="168" t="s">
        <v>612</v>
      </c>
      <c r="R27" s="134">
        <v>339030</v>
      </c>
      <c r="S27" s="134">
        <v>35</v>
      </c>
      <c r="T27" s="134" t="s">
        <v>601</v>
      </c>
      <c r="U27" s="141"/>
    </row>
    <row r="28" spans="1:21" ht="46.5" customHeight="1" x14ac:dyDescent="0.25">
      <c r="A28" s="134" t="s">
        <v>380</v>
      </c>
      <c r="B28" s="134" t="s">
        <v>23</v>
      </c>
      <c r="C28" s="134" t="s">
        <v>381</v>
      </c>
      <c r="D28" s="135">
        <v>190000</v>
      </c>
      <c r="E28" s="134" t="s">
        <v>383</v>
      </c>
      <c r="F28" s="134">
        <v>81</v>
      </c>
      <c r="G28" s="153" t="s">
        <v>443</v>
      </c>
      <c r="H28" s="134"/>
      <c r="I28" s="134">
        <v>4</v>
      </c>
      <c r="J28" s="136"/>
      <c r="K28" s="138">
        <f>VLOOKUP(F28,Plan2!$1:$1048576,8,FALSE)</f>
        <v>9.85</v>
      </c>
      <c r="L28" s="136">
        <v>42830</v>
      </c>
      <c r="M28" s="134" t="s">
        <v>402</v>
      </c>
      <c r="N28" s="134">
        <v>4</v>
      </c>
      <c r="O28" s="138">
        <f t="shared" si="0"/>
        <v>39.4</v>
      </c>
      <c r="P28" s="139">
        <v>42859</v>
      </c>
      <c r="Q28" s="168" t="s">
        <v>612</v>
      </c>
      <c r="R28" s="134">
        <v>339030</v>
      </c>
      <c r="S28" s="134">
        <v>35</v>
      </c>
      <c r="T28" s="134" t="s">
        <v>601</v>
      </c>
      <c r="U28" s="141"/>
    </row>
    <row r="29" spans="1:21" ht="46.5" customHeight="1" x14ac:dyDescent="0.25">
      <c r="A29" s="134" t="s">
        <v>380</v>
      </c>
      <c r="B29" s="134" t="s">
        <v>23</v>
      </c>
      <c r="C29" s="134" t="s">
        <v>381</v>
      </c>
      <c r="D29" s="135">
        <v>190000</v>
      </c>
      <c r="E29" s="134" t="s">
        <v>383</v>
      </c>
      <c r="F29" s="134">
        <v>89</v>
      </c>
      <c r="G29" s="153" t="s">
        <v>462</v>
      </c>
      <c r="H29" s="134"/>
      <c r="I29" s="134">
        <v>11</v>
      </c>
      <c r="J29" s="136"/>
      <c r="K29" s="138">
        <f>VLOOKUP(F29,Plan2!$1:$1048576,8,FALSE)</f>
        <v>9.9</v>
      </c>
      <c r="L29" s="136">
        <v>42830</v>
      </c>
      <c r="M29" s="134" t="s">
        <v>402</v>
      </c>
      <c r="N29" s="134">
        <v>11</v>
      </c>
      <c r="O29" s="138">
        <f t="shared" si="0"/>
        <v>108.9</v>
      </c>
      <c r="P29" s="139">
        <v>42859</v>
      </c>
      <c r="Q29" s="168" t="s">
        <v>612</v>
      </c>
      <c r="R29" s="134">
        <v>339030</v>
      </c>
      <c r="S29" s="134">
        <v>35</v>
      </c>
      <c r="T29" s="134" t="s">
        <v>601</v>
      </c>
      <c r="U29" s="141"/>
    </row>
    <row r="30" spans="1:21" ht="46.5" customHeight="1" x14ac:dyDescent="0.25">
      <c r="A30" s="134" t="s">
        <v>380</v>
      </c>
      <c r="B30" s="134" t="s">
        <v>23</v>
      </c>
      <c r="C30" s="134" t="s">
        <v>381</v>
      </c>
      <c r="D30" s="135">
        <v>190000</v>
      </c>
      <c r="E30" s="134" t="s">
        <v>383</v>
      </c>
      <c r="F30" s="134">
        <v>109</v>
      </c>
      <c r="G30" s="153" t="s">
        <v>463</v>
      </c>
      <c r="H30" s="134"/>
      <c r="I30" s="134">
        <v>5</v>
      </c>
      <c r="J30" s="136"/>
      <c r="K30" s="138">
        <f>VLOOKUP(F30,Plan2!$1:$1048576,8,FALSE)</f>
        <v>39</v>
      </c>
      <c r="L30" s="136">
        <v>42830</v>
      </c>
      <c r="M30" s="134" t="s">
        <v>402</v>
      </c>
      <c r="N30" s="134">
        <v>5</v>
      </c>
      <c r="O30" s="138">
        <f t="shared" si="0"/>
        <v>195</v>
      </c>
      <c r="P30" s="139">
        <v>42859</v>
      </c>
      <c r="Q30" s="168" t="s">
        <v>612</v>
      </c>
      <c r="R30" s="174">
        <v>339030</v>
      </c>
      <c r="S30" s="134">
        <v>35</v>
      </c>
      <c r="T30" s="134" t="s">
        <v>601</v>
      </c>
      <c r="U30" s="141"/>
    </row>
    <row r="31" spans="1:21" ht="46.5" customHeight="1" x14ac:dyDescent="0.25">
      <c r="A31" s="134" t="s">
        <v>380</v>
      </c>
      <c r="B31" s="134" t="s">
        <v>23</v>
      </c>
      <c r="C31" s="134" t="s">
        <v>381</v>
      </c>
      <c r="D31" s="135">
        <v>190000</v>
      </c>
      <c r="E31" s="134" t="s">
        <v>383</v>
      </c>
      <c r="F31" s="134">
        <v>54</v>
      </c>
      <c r="G31" s="153" t="s">
        <v>444</v>
      </c>
      <c r="H31" s="134"/>
      <c r="I31" s="134">
        <v>4</v>
      </c>
      <c r="J31" s="136"/>
      <c r="K31" s="134">
        <f>VLOOKUP(F31,Plan2!$1:$1048576,8,FALSE)</f>
        <v>3.99</v>
      </c>
      <c r="L31" s="136">
        <v>42830</v>
      </c>
      <c r="M31" s="134" t="s">
        <v>401</v>
      </c>
      <c r="N31" s="134">
        <v>4</v>
      </c>
      <c r="O31" s="138">
        <f t="shared" si="0"/>
        <v>15.96</v>
      </c>
      <c r="P31" s="139">
        <v>42859</v>
      </c>
      <c r="Q31" s="140">
        <v>8214</v>
      </c>
      <c r="R31" s="168" t="s">
        <v>612</v>
      </c>
      <c r="S31" s="134">
        <v>35</v>
      </c>
      <c r="T31" s="134" t="s">
        <v>601</v>
      </c>
      <c r="U31" s="141"/>
    </row>
    <row r="32" spans="1:21" ht="46.5" customHeight="1" x14ac:dyDescent="0.25">
      <c r="A32" s="134" t="s">
        <v>380</v>
      </c>
      <c r="B32" s="134" t="s">
        <v>23</v>
      </c>
      <c r="C32" s="134" t="s">
        <v>381</v>
      </c>
      <c r="D32" s="135">
        <v>190000</v>
      </c>
      <c r="E32" s="134" t="s">
        <v>383</v>
      </c>
      <c r="F32" s="134">
        <v>97</v>
      </c>
      <c r="G32" s="153" t="s">
        <v>464</v>
      </c>
      <c r="H32" s="134"/>
      <c r="I32" s="134">
        <v>4</v>
      </c>
      <c r="J32" s="136"/>
      <c r="K32" s="134">
        <f>VLOOKUP(F32,Plan2!$1:$1048576,8,FALSE)</f>
        <v>4.66</v>
      </c>
      <c r="L32" s="136">
        <v>42830</v>
      </c>
      <c r="M32" s="134" t="s">
        <v>402</v>
      </c>
      <c r="N32" s="134">
        <v>4</v>
      </c>
      <c r="O32" s="138">
        <f t="shared" si="0"/>
        <v>18.64</v>
      </c>
      <c r="P32" s="139">
        <v>42859</v>
      </c>
      <c r="Q32" s="168" t="s">
        <v>612</v>
      </c>
      <c r="R32" s="134">
        <v>339030</v>
      </c>
      <c r="S32" s="134">
        <v>35</v>
      </c>
      <c r="T32" s="134" t="s">
        <v>601</v>
      </c>
      <c r="U32" s="141"/>
    </row>
    <row r="33" spans="1:21" ht="46.5" customHeight="1" x14ac:dyDescent="0.25">
      <c r="A33" s="134" t="s">
        <v>380</v>
      </c>
      <c r="B33" s="134" t="s">
        <v>23</v>
      </c>
      <c r="C33" s="134" t="s">
        <v>381</v>
      </c>
      <c r="D33" s="135">
        <v>190000</v>
      </c>
      <c r="E33" s="134" t="s">
        <v>383</v>
      </c>
      <c r="F33" s="134">
        <v>98</v>
      </c>
      <c r="G33" s="153" t="s">
        <v>446</v>
      </c>
      <c r="H33" s="134"/>
      <c r="I33" s="134">
        <v>4</v>
      </c>
      <c r="J33" s="136"/>
      <c r="K33" s="138">
        <f>VLOOKUP(F33,Plan2!$1:$1048576,8,FALSE)</f>
        <v>4.87</v>
      </c>
      <c r="L33" s="136">
        <v>42830</v>
      </c>
      <c r="M33" s="134" t="s">
        <v>402</v>
      </c>
      <c r="N33" s="134">
        <v>4</v>
      </c>
      <c r="O33" s="138">
        <f t="shared" si="0"/>
        <v>19.48</v>
      </c>
      <c r="P33" s="139">
        <v>42859</v>
      </c>
      <c r="Q33" s="168" t="s">
        <v>612</v>
      </c>
      <c r="R33" s="134">
        <v>339030</v>
      </c>
      <c r="S33" s="134">
        <v>35</v>
      </c>
      <c r="T33" s="134" t="s">
        <v>601</v>
      </c>
      <c r="U33" s="141"/>
    </row>
    <row r="34" spans="1:21" ht="46.5" customHeight="1" x14ac:dyDescent="0.25">
      <c r="A34" s="134" t="s">
        <v>380</v>
      </c>
      <c r="B34" s="134" t="s">
        <v>23</v>
      </c>
      <c r="C34" s="134" t="s">
        <v>381</v>
      </c>
      <c r="D34" s="135">
        <v>190000</v>
      </c>
      <c r="E34" s="134" t="s">
        <v>383</v>
      </c>
      <c r="F34" s="134">
        <v>101</v>
      </c>
      <c r="G34" s="153" t="s">
        <v>465</v>
      </c>
      <c r="H34" s="134"/>
      <c r="I34" s="134">
        <v>4</v>
      </c>
      <c r="J34" s="136"/>
      <c r="K34" s="138">
        <f>VLOOKUP(F34,Plan2!$1:$1048576,8,FALSE)</f>
        <v>7</v>
      </c>
      <c r="L34" s="136">
        <v>42830</v>
      </c>
      <c r="M34" s="134" t="s">
        <v>402</v>
      </c>
      <c r="N34" s="134">
        <v>4</v>
      </c>
      <c r="O34" s="138">
        <f t="shared" si="0"/>
        <v>28</v>
      </c>
      <c r="P34" s="139">
        <v>42859</v>
      </c>
      <c r="Q34" s="168" t="s">
        <v>612</v>
      </c>
      <c r="R34" s="134">
        <v>339030</v>
      </c>
      <c r="S34" s="134">
        <v>35</v>
      </c>
      <c r="T34" s="134" t="s">
        <v>601</v>
      </c>
      <c r="U34" s="141"/>
    </row>
    <row r="35" spans="1:21" ht="46.5" customHeight="1" x14ac:dyDescent="0.25">
      <c r="A35" s="134" t="s">
        <v>380</v>
      </c>
      <c r="B35" s="134" t="s">
        <v>23</v>
      </c>
      <c r="C35" s="134" t="s">
        <v>381</v>
      </c>
      <c r="D35" s="135">
        <v>190000</v>
      </c>
      <c r="E35" s="134" t="s">
        <v>383</v>
      </c>
      <c r="F35" s="134">
        <v>102</v>
      </c>
      <c r="G35" s="153" t="s">
        <v>466</v>
      </c>
      <c r="H35" s="134"/>
      <c r="I35" s="134">
        <v>4</v>
      </c>
      <c r="J35" s="136"/>
      <c r="K35" s="138">
        <f>VLOOKUP(F35,Plan2!$1:$1048576,8,FALSE)</f>
        <v>10</v>
      </c>
      <c r="L35" s="136">
        <v>42830</v>
      </c>
      <c r="M35" s="134" t="s">
        <v>402</v>
      </c>
      <c r="N35" s="134">
        <v>4</v>
      </c>
      <c r="O35" s="138">
        <f t="shared" si="0"/>
        <v>40</v>
      </c>
      <c r="P35" s="139">
        <v>42859</v>
      </c>
      <c r="Q35" s="168" t="s">
        <v>612</v>
      </c>
      <c r="R35" s="134">
        <v>339030</v>
      </c>
      <c r="S35" s="134">
        <v>35</v>
      </c>
      <c r="T35" s="134" t="s">
        <v>601</v>
      </c>
      <c r="U35" s="141"/>
    </row>
    <row r="36" spans="1:21" ht="46.5" customHeight="1" x14ac:dyDescent="0.25">
      <c r="A36" s="134" t="s">
        <v>380</v>
      </c>
      <c r="B36" s="134" t="s">
        <v>23</v>
      </c>
      <c r="C36" s="134" t="s">
        <v>381</v>
      </c>
      <c r="D36" s="135">
        <v>190000</v>
      </c>
      <c r="E36" s="134" t="s">
        <v>383</v>
      </c>
      <c r="F36" s="134">
        <v>99</v>
      </c>
      <c r="G36" s="153" t="s">
        <v>467</v>
      </c>
      <c r="H36" s="134"/>
      <c r="I36" s="134">
        <v>4</v>
      </c>
      <c r="J36" s="136"/>
      <c r="K36" s="138">
        <f>VLOOKUP(F36,Plan2!$1:$1048576,8,FALSE)</f>
        <v>8.1</v>
      </c>
      <c r="L36" s="136">
        <v>42830</v>
      </c>
      <c r="M36" s="134" t="s">
        <v>402</v>
      </c>
      <c r="N36" s="134">
        <v>4</v>
      </c>
      <c r="O36" s="138">
        <f t="shared" si="0"/>
        <v>32.4</v>
      </c>
      <c r="P36" s="139">
        <v>42859</v>
      </c>
      <c r="Q36" s="168" t="s">
        <v>612</v>
      </c>
      <c r="R36" s="134">
        <v>339030</v>
      </c>
      <c r="S36" s="134">
        <v>35</v>
      </c>
      <c r="T36" s="134" t="s">
        <v>601</v>
      </c>
      <c r="U36" s="141"/>
    </row>
    <row r="37" spans="1:21" ht="46.5" customHeight="1" x14ac:dyDescent="0.25">
      <c r="A37" s="134" t="s">
        <v>380</v>
      </c>
      <c r="B37" s="134" t="s">
        <v>23</v>
      </c>
      <c r="C37" s="134" t="s">
        <v>381</v>
      </c>
      <c r="D37" s="135">
        <v>190000</v>
      </c>
      <c r="E37" s="134" t="s">
        <v>383</v>
      </c>
      <c r="F37" s="134">
        <v>94</v>
      </c>
      <c r="G37" s="153" t="s">
        <v>468</v>
      </c>
      <c r="H37" s="134"/>
      <c r="I37" s="134">
        <v>2</v>
      </c>
      <c r="J37" s="136"/>
      <c r="K37" s="134">
        <f>VLOOKUP(F37,Plan2!$1:$1048576,8,FALSE)</f>
        <v>8</v>
      </c>
      <c r="L37" s="136">
        <v>42830</v>
      </c>
      <c r="M37" s="134" t="s">
        <v>402</v>
      </c>
      <c r="N37" s="134">
        <v>2</v>
      </c>
      <c r="O37" s="138">
        <f t="shared" si="0"/>
        <v>16</v>
      </c>
      <c r="P37" s="139">
        <v>42859</v>
      </c>
      <c r="Q37" s="168" t="s">
        <v>612</v>
      </c>
      <c r="R37" s="134">
        <v>339030</v>
      </c>
      <c r="S37" s="134">
        <v>35</v>
      </c>
      <c r="T37" s="134" t="s">
        <v>601</v>
      </c>
      <c r="U37" s="141"/>
    </row>
    <row r="38" spans="1:21" ht="46.5" customHeight="1" x14ac:dyDescent="0.25">
      <c r="A38" s="134" t="s">
        <v>380</v>
      </c>
      <c r="B38" s="134" t="s">
        <v>23</v>
      </c>
      <c r="C38" s="134" t="s">
        <v>381</v>
      </c>
      <c r="D38" s="135">
        <v>190000</v>
      </c>
      <c r="E38" s="134" t="s">
        <v>383</v>
      </c>
      <c r="F38" s="134">
        <v>96</v>
      </c>
      <c r="G38" s="153" t="s">
        <v>469</v>
      </c>
      <c r="H38" s="134"/>
      <c r="I38" s="134">
        <v>4</v>
      </c>
      <c r="J38" s="136"/>
      <c r="K38" s="138">
        <f>VLOOKUP(F38,Plan2!$1:$1048576,8,FALSE)</f>
        <v>4.3499999999999996</v>
      </c>
      <c r="L38" s="136">
        <v>42830</v>
      </c>
      <c r="M38" s="134" t="s">
        <v>402</v>
      </c>
      <c r="N38" s="134">
        <v>4</v>
      </c>
      <c r="O38" s="138">
        <f t="shared" si="0"/>
        <v>17.399999999999999</v>
      </c>
      <c r="P38" s="139">
        <v>42859</v>
      </c>
      <c r="Q38" s="168" t="s">
        <v>612</v>
      </c>
      <c r="R38" s="134">
        <v>339030</v>
      </c>
      <c r="S38" s="134">
        <v>35</v>
      </c>
      <c r="T38" s="134" t="s">
        <v>601</v>
      </c>
      <c r="U38" s="141"/>
    </row>
    <row r="39" spans="1:21" ht="46.5" customHeight="1" x14ac:dyDescent="0.25">
      <c r="A39" s="134" t="s">
        <v>380</v>
      </c>
      <c r="B39" s="134" t="s">
        <v>23</v>
      </c>
      <c r="C39" s="134" t="s">
        <v>381</v>
      </c>
      <c r="D39" s="135">
        <v>190000</v>
      </c>
      <c r="E39" s="134" t="s">
        <v>383</v>
      </c>
      <c r="F39" s="134">
        <v>117</v>
      </c>
      <c r="G39" s="153" t="s">
        <v>451</v>
      </c>
      <c r="H39" s="134"/>
      <c r="I39" s="134">
        <v>6</v>
      </c>
      <c r="J39" s="136"/>
      <c r="K39" s="138">
        <f>VLOOKUP(F39,Plan2!$1:$1048576,8,FALSE)</f>
        <v>2.3199999999999998</v>
      </c>
      <c r="L39" s="136">
        <v>42830</v>
      </c>
      <c r="M39" s="134" t="s">
        <v>402</v>
      </c>
      <c r="N39" s="134">
        <v>6</v>
      </c>
      <c r="O39" s="138">
        <f t="shared" si="0"/>
        <v>13.919999999999998</v>
      </c>
      <c r="P39" s="139">
        <v>42859</v>
      </c>
      <c r="Q39" s="168" t="s">
        <v>612</v>
      </c>
      <c r="R39" s="134">
        <v>339030</v>
      </c>
      <c r="S39" s="134">
        <v>35</v>
      </c>
      <c r="T39" s="134" t="s">
        <v>601</v>
      </c>
      <c r="U39" s="141"/>
    </row>
    <row r="40" spans="1:21" s="98" customFormat="1" ht="75" customHeight="1" x14ac:dyDescent="0.25">
      <c r="A40" s="134" t="s">
        <v>380</v>
      </c>
      <c r="B40" s="134" t="s">
        <v>23</v>
      </c>
      <c r="C40" s="134" t="s">
        <v>381</v>
      </c>
      <c r="D40" s="135">
        <v>190000</v>
      </c>
      <c r="E40" s="134" t="s">
        <v>383</v>
      </c>
      <c r="F40" s="134">
        <v>119</v>
      </c>
      <c r="G40" s="153" t="s">
        <v>452</v>
      </c>
      <c r="H40" s="134"/>
      <c r="I40" s="134">
        <v>1</v>
      </c>
      <c r="J40" s="136"/>
      <c r="K40" s="138">
        <f>VLOOKUP(F40,Plan2!$1:$1048576,8,FALSE)</f>
        <v>204.99</v>
      </c>
      <c r="L40" s="134" t="s">
        <v>398</v>
      </c>
      <c r="M40" s="134" t="s">
        <v>393</v>
      </c>
      <c r="N40" s="134">
        <v>1</v>
      </c>
      <c r="O40" s="138">
        <f>N40*K40</f>
        <v>204.99</v>
      </c>
      <c r="P40" s="167">
        <v>42920</v>
      </c>
      <c r="Q40" s="173" t="s">
        <v>608</v>
      </c>
      <c r="R40" s="134">
        <v>339030</v>
      </c>
      <c r="S40" s="134">
        <v>35</v>
      </c>
      <c r="T40" s="134" t="s">
        <v>601</v>
      </c>
      <c r="U40" s="141"/>
    </row>
    <row r="41" spans="1:21" ht="68.25" customHeight="1" x14ac:dyDescent="0.25">
      <c r="A41" s="134" t="s">
        <v>380</v>
      </c>
      <c r="B41" s="134" t="s">
        <v>23</v>
      </c>
      <c r="C41" s="134" t="s">
        <v>381</v>
      </c>
      <c r="D41" s="135">
        <v>190000</v>
      </c>
      <c r="E41" s="134" t="s">
        <v>383</v>
      </c>
      <c r="F41" s="134">
        <v>120</v>
      </c>
      <c r="G41" s="153" t="s">
        <v>453</v>
      </c>
      <c r="H41" s="134"/>
      <c r="I41" s="134">
        <v>10</v>
      </c>
      <c r="J41" s="136"/>
      <c r="K41" s="138">
        <f>VLOOKUP(F41,Plan2!$1:$1048576,8,FALSE)</f>
        <v>2.2000000000000002</v>
      </c>
      <c r="L41" s="136">
        <v>42830</v>
      </c>
      <c r="M41" s="134" t="s">
        <v>402</v>
      </c>
      <c r="N41" s="134">
        <v>10</v>
      </c>
      <c r="O41" s="138">
        <f t="shared" si="0"/>
        <v>22</v>
      </c>
      <c r="P41" s="139">
        <v>42859</v>
      </c>
      <c r="Q41" s="168" t="s">
        <v>612</v>
      </c>
      <c r="R41" s="134">
        <v>339030</v>
      </c>
      <c r="S41" s="134">
        <v>35</v>
      </c>
      <c r="T41" s="134" t="s">
        <v>601</v>
      </c>
      <c r="U41" s="141"/>
    </row>
    <row r="42" spans="1:21" ht="46.5" customHeight="1" x14ac:dyDescent="0.25">
      <c r="A42" s="134" t="s">
        <v>380</v>
      </c>
      <c r="B42" s="134" t="s">
        <v>23</v>
      </c>
      <c r="C42" s="134" t="s">
        <v>381</v>
      </c>
      <c r="D42" s="135">
        <v>190000</v>
      </c>
      <c r="E42" s="134" t="s">
        <v>383</v>
      </c>
      <c r="F42" s="134">
        <v>121</v>
      </c>
      <c r="G42" s="153" t="s">
        <v>470</v>
      </c>
      <c r="H42" s="134"/>
      <c r="I42" s="134">
        <v>5</v>
      </c>
      <c r="J42" s="136"/>
      <c r="K42" s="138">
        <f>VLOOKUP(F42,Plan2!$1:$1048576,8,FALSE)</f>
        <v>3.12</v>
      </c>
      <c r="L42" s="136">
        <v>42830</v>
      </c>
      <c r="M42" s="134" t="s">
        <v>395</v>
      </c>
      <c r="N42" s="134">
        <v>5</v>
      </c>
      <c r="O42" s="138">
        <f t="shared" si="0"/>
        <v>15.600000000000001</v>
      </c>
      <c r="P42" s="167">
        <v>42872</v>
      </c>
      <c r="Q42" s="173" t="s">
        <v>610</v>
      </c>
      <c r="R42" s="134">
        <v>339030</v>
      </c>
      <c r="S42" s="134">
        <v>35</v>
      </c>
      <c r="T42" s="134" t="s">
        <v>601</v>
      </c>
      <c r="U42" s="141"/>
    </row>
    <row r="43" spans="1:21" ht="46.5" customHeight="1" x14ac:dyDescent="0.25">
      <c r="A43" s="134" t="s">
        <v>380</v>
      </c>
      <c r="B43" s="134" t="s">
        <v>23</v>
      </c>
      <c r="C43" s="134" t="s">
        <v>381</v>
      </c>
      <c r="D43" s="135">
        <v>190000</v>
      </c>
      <c r="E43" s="134" t="s">
        <v>383</v>
      </c>
      <c r="F43" s="134">
        <v>122</v>
      </c>
      <c r="G43" s="153" t="s">
        <v>471</v>
      </c>
      <c r="H43" s="134"/>
      <c r="I43" s="134">
        <v>5</v>
      </c>
      <c r="J43" s="136"/>
      <c r="K43" s="138">
        <f>VLOOKUP(F43,Plan2!$1:$1048576,8,FALSE)</f>
        <v>2.78</v>
      </c>
      <c r="L43" s="136">
        <v>42830</v>
      </c>
      <c r="M43" s="134" t="s">
        <v>402</v>
      </c>
      <c r="N43" s="134">
        <v>5</v>
      </c>
      <c r="O43" s="138">
        <f t="shared" si="0"/>
        <v>13.899999999999999</v>
      </c>
      <c r="P43" s="139">
        <v>42859</v>
      </c>
      <c r="Q43" s="168" t="s">
        <v>612</v>
      </c>
      <c r="R43" s="134">
        <v>339030</v>
      </c>
      <c r="S43" s="134">
        <v>35</v>
      </c>
      <c r="T43" s="134" t="s">
        <v>601</v>
      </c>
      <c r="U43" s="141"/>
    </row>
    <row r="44" spans="1:21" ht="46.5" customHeight="1" x14ac:dyDescent="0.25">
      <c r="A44" s="134" t="s">
        <v>380</v>
      </c>
      <c r="B44" s="134" t="s">
        <v>23</v>
      </c>
      <c r="C44" s="134" t="s">
        <v>381</v>
      </c>
      <c r="D44" s="135">
        <v>190000</v>
      </c>
      <c r="E44" s="134" t="s">
        <v>383</v>
      </c>
      <c r="F44" s="134">
        <v>123</v>
      </c>
      <c r="G44" s="153" t="s">
        <v>472</v>
      </c>
      <c r="H44" s="134"/>
      <c r="I44" s="134">
        <v>14</v>
      </c>
      <c r="J44" s="136"/>
      <c r="K44" s="138">
        <f>VLOOKUP(F44,Plan2!$1:$1048576,8,FALSE)</f>
        <v>3.68</v>
      </c>
      <c r="L44" s="136">
        <v>42830</v>
      </c>
      <c r="M44" s="134" t="s">
        <v>402</v>
      </c>
      <c r="N44" s="134">
        <v>14</v>
      </c>
      <c r="O44" s="138">
        <f>N44*K44</f>
        <v>51.52</v>
      </c>
      <c r="P44" s="139">
        <v>42859</v>
      </c>
      <c r="Q44" s="168" t="s">
        <v>612</v>
      </c>
      <c r="R44" s="134">
        <v>339030</v>
      </c>
      <c r="S44" s="134">
        <v>35</v>
      </c>
      <c r="T44" s="134" t="s">
        <v>601</v>
      </c>
      <c r="U44" s="141"/>
    </row>
    <row r="45" spans="1:21" ht="46.5" customHeight="1" x14ac:dyDescent="0.25">
      <c r="A45" s="134" t="s">
        <v>380</v>
      </c>
      <c r="B45" s="134" t="s">
        <v>23</v>
      </c>
      <c r="C45" s="134" t="s">
        <v>381</v>
      </c>
      <c r="D45" s="135">
        <v>190000</v>
      </c>
      <c r="E45" s="134" t="s">
        <v>383</v>
      </c>
      <c r="F45" s="134">
        <v>124</v>
      </c>
      <c r="G45" s="153" t="s">
        <v>454</v>
      </c>
      <c r="H45" s="134"/>
      <c r="I45" s="134">
        <v>21</v>
      </c>
      <c r="J45" s="136"/>
      <c r="K45" s="138">
        <f>VLOOKUP(F45,Plan2!$1:$1048576,8,FALSE)</f>
        <v>5.99</v>
      </c>
      <c r="L45" s="136">
        <v>41734</v>
      </c>
      <c r="M45" s="134" t="s">
        <v>402</v>
      </c>
      <c r="N45" s="134">
        <v>21</v>
      </c>
      <c r="O45" s="138">
        <f t="shared" si="0"/>
        <v>125.79</v>
      </c>
      <c r="P45" s="139">
        <v>42859</v>
      </c>
      <c r="Q45" s="168" t="s">
        <v>612</v>
      </c>
      <c r="R45" s="134">
        <v>339030</v>
      </c>
      <c r="S45" s="134">
        <v>35</v>
      </c>
      <c r="T45" s="134" t="s">
        <v>601</v>
      </c>
      <c r="U45" s="141"/>
    </row>
    <row r="46" spans="1:21" ht="46.5" customHeight="1" x14ac:dyDescent="0.25">
      <c r="A46" s="134" t="s">
        <v>380</v>
      </c>
      <c r="B46" s="134" t="s">
        <v>23</v>
      </c>
      <c r="C46" s="134" t="s">
        <v>381</v>
      </c>
      <c r="D46" s="135">
        <v>190000</v>
      </c>
      <c r="E46" s="134" t="s">
        <v>383</v>
      </c>
      <c r="F46" s="134">
        <v>125</v>
      </c>
      <c r="G46" s="153" t="s">
        <v>473</v>
      </c>
      <c r="H46" s="134"/>
      <c r="I46" s="134">
        <v>7</v>
      </c>
      <c r="J46" s="136"/>
      <c r="K46" s="138">
        <f>VLOOKUP(F46,Plan2!$1:$1048576,8,FALSE)</f>
        <v>5.2</v>
      </c>
      <c r="L46" s="136">
        <v>42830</v>
      </c>
      <c r="M46" s="134" t="s">
        <v>402</v>
      </c>
      <c r="N46" s="134">
        <v>7</v>
      </c>
      <c r="O46" s="138">
        <f t="shared" si="0"/>
        <v>36.4</v>
      </c>
      <c r="P46" s="139">
        <v>42859</v>
      </c>
      <c r="Q46" s="168" t="s">
        <v>612</v>
      </c>
      <c r="R46" s="134">
        <v>339030</v>
      </c>
      <c r="S46" s="134">
        <v>35</v>
      </c>
      <c r="T46" s="134" t="s">
        <v>601</v>
      </c>
      <c r="U46" s="141"/>
    </row>
    <row r="47" spans="1:21" ht="46.5" customHeight="1" x14ac:dyDescent="0.25">
      <c r="A47" s="134" t="s">
        <v>380</v>
      </c>
      <c r="B47" s="134" t="s">
        <v>23</v>
      </c>
      <c r="C47" s="134" t="s">
        <v>381</v>
      </c>
      <c r="D47" s="135">
        <v>190000</v>
      </c>
      <c r="E47" s="134" t="s">
        <v>383</v>
      </c>
      <c r="F47" s="134">
        <v>136</v>
      </c>
      <c r="G47" s="153" t="s">
        <v>474</v>
      </c>
      <c r="H47" s="134"/>
      <c r="I47" s="134">
        <v>2</v>
      </c>
      <c r="J47" s="136"/>
      <c r="K47" s="138">
        <f>VLOOKUP(F47,Plan2!$1:$1048576,8,FALSE)</f>
        <v>4.05</v>
      </c>
      <c r="L47" s="136">
        <v>42830</v>
      </c>
      <c r="M47" s="134" t="s">
        <v>402</v>
      </c>
      <c r="N47" s="134">
        <v>2</v>
      </c>
      <c r="O47" s="138">
        <f t="shared" si="0"/>
        <v>8.1</v>
      </c>
      <c r="P47" s="139">
        <v>42859</v>
      </c>
      <c r="Q47" s="168" t="s">
        <v>612</v>
      </c>
      <c r="R47" s="134">
        <v>339030</v>
      </c>
      <c r="S47" s="134">
        <v>35</v>
      </c>
      <c r="T47" s="134" t="s">
        <v>601</v>
      </c>
      <c r="U47" s="141"/>
    </row>
    <row r="48" spans="1:21" ht="46.5" customHeight="1" x14ac:dyDescent="0.25">
      <c r="A48" s="134" t="s">
        <v>380</v>
      </c>
      <c r="B48" s="134" t="s">
        <v>23</v>
      </c>
      <c r="C48" s="134" t="s">
        <v>381</v>
      </c>
      <c r="D48" s="135">
        <v>190000</v>
      </c>
      <c r="E48" s="134" t="s">
        <v>383</v>
      </c>
      <c r="F48" s="134">
        <v>137</v>
      </c>
      <c r="G48" s="153" t="s">
        <v>475</v>
      </c>
      <c r="H48" s="134"/>
      <c r="I48" s="134">
        <v>4</v>
      </c>
      <c r="J48" s="136"/>
      <c r="K48" s="138">
        <f>VLOOKUP(F48,Plan2!$1:$1048576,8,FALSE)</f>
        <v>6.3</v>
      </c>
      <c r="L48" s="136">
        <v>42830</v>
      </c>
      <c r="M48" s="134" t="s">
        <v>402</v>
      </c>
      <c r="N48" s="134">
        <v>4</v>
      </c>
      <c r="O48" s="138">
        <f t="shared" si="0"/>
        <v>25.2</v>
      </c>
      <c r="P48" s="139">
        <v>42859</v>
      </c>
      <c r="Q48" s="168" t="s">
        <v>612</v>
      </c>
      <c r="R48" s="134">
        <v>339030</v>
      </c>
      <c r="S48" s="134">
        <v>35</v>
      </c>
      <c r="T48" s="134" t="s">
        <v>601</v>
      </c>
      <c r="U48" s="141"/>
    </row>
    <row r="49" spans="1:21" ht="31.5" customHeight="1" x14ac:dyDescent="0.25">
      <c r="A49" s="134" t="s">
        <v>380</v>
      </c>
      <c r="B49" s="134" t="s">
        <v>23</v>
      </c>
      <c r="C49" s="134" t="s">
        <v>381</v>
      </c>
      <c r="D49" s="135">
        <v>190000</v>
      </c>
      <c r="E49" s="134" t="s">
        <v>383</v>
      </c>
      <c r="F49" s="134">
        <v>140</v>
      </c>
      <c r="G49" s="153" t="s">
        <v>476</v>
      </c>
      <c r="H49" s="134"/>
      <c r="I49" s="134">
        <v>2</v>
      </c>
      <c r="J49" s="136"/>
      <c r="K49" s="138">
        <f>VLOOKUP(F49,Plan2!$1:$1048576,8,FALSE)</f>
        <v>4.51</v>
      </c>
      <c r="L49" s="136">
        <v>42830</v>
      </c>
      <c r="M49" s="134" t="s">
        <v>393</v>
      </c>
      <c r="N49" s="134">
        <v>2</v>
      </c>
      <c r="O49" s="138">
        <f t="shared" si="0"/>
        <v>9.02</v>
      </c>
      <c r="P49" s="167">
        <v>42920</v>
      </c>
      <c r="Q49" s="173" t="s">
        <v>608</v>
      </c>
      <c r="R49" s="134">
        <v>339030</v>
      </c>
      <c r="S49" s="134">
        <v>35</v>
      </c>
      <c r="T49" s="134" t="s">
        <v>601</v>
      </c>
      <c r="U49" s="141"/>
    </row>
    <row r="50" spans="1:21" ht="31.5" customHeight="1" x14ac:dyDescent="0.25">
      <c r="A50" s="134" t="s">
        <v>380</v>
      </c>
      <c r="B50" s="134" t="s">
        <v>23</v>
      </c>
      <c r="C50" s="134" t="s">
        <v>381</v>
      </c>
      <c r="D50" s="135">
        <v>190000</v>
      </c>
      <c r="E50" s="134" t="s">
        <v>383</v>
      </c>
      <c r="F50" s="134">
        <v>145</v>
      </c>
      <c r="G50" s="153" t="s">
        <v>477</v>
      </c>
      <c r="H50" s="134"/>
      <c r="I50" s="134">
        <v>2</v>
      </c>
      <c r="J50" s="136"/>
      <c r="K50" s="138">
        <f>VLOOKUP(F50,Plan2!$1:$1048576,8,FALSE)</f>
        <v>4.51</v>
      </c>
      <c r="L50" s="136">
        <v>42830</v>
      </c>
      <c r="M50" s="134" t="s">
        <v>402</v>
      </c>
      <c r="N50" s="134">
        <v>2</v>
      </c>
      <c r="O50" s="138">
        <f t="shared" si="0"/>
        <v>9.02</v>
      </c>
      <c r="P50" s="139">
        <v>42859</v>
      </c>
      <c r="Q50" s="168" t="s">
        <v>612</v>
      </c>
      <c r="R50" s="134">
        <v>339030</v>
      </c>
      <c r="S50" s="134">
        <v>35</v>
      </c>
      <c r="T50" s="134" t="s">
        <v>601</v>
      </c>
      <c r="U50" s="141"/>
    </row>
    <row r="51" spans="1:21" ht="31.5" customHeight="1" x14ac:dyDescent="0.25">
      <c r="A51" s="134" t="s">
        <v>380</v>
      </c>
      <c r="B51" s="134" t="s">
        <v>23</v>
      </c>
      <c r="C51" s="134" t="s">
        <v>381</v>
      </c>
      <c r="D51" s="135">
        <v>190000</v>
      </c>
      <c r="E51" s="134" t="s">
        <v>383</v>
      </c>
      <c r="F51" s="134">
        <v>146</v>
      </c>
      <c r="G51" s="153" t="s">
        <v>478</v>
      </c>
      <c r="H51" s="134"/>
      <c r="I51" s="134">
        <v>2</v>
      </c>
      <c r="J51" s="136"/>
      <c r="K51" s="138">
        <f>VLOOKUP(F51,Plan2!$1:$1048576,8,FALSE)</f>
        <v>3.3</v>
      </c>
      <c r="L51" s="136">
        <v>42830</v>
      </c>
      <c r="M51" s="134" t="s">
        <v>402</v>
      </c>
      <c r="N51" s="134">
        <v>2</v>
      </c>
      <c r="O51" s="138">
        <f t="shared" si="0"/>
        <v>6.6</v>
      </c>
      <c r="P51" s="139">
        <v>42859</v>
      </c>
      <c r="Q51" s="168" t="s">
        <v>612</v>
      </c>
      <c r="R51" s="174">
        <v>339030</v>
      </c>
      <c r="S51" s="134">
        <v>35</v>
      </c>
      <c r="T51" s="134" t="s">
        <v>601</v>
      </c>
      <c r="U51" s="141"/>
    </row>
    <row r="52" spans="1:21" ht="31.5" customHeight="1" x14ac:dyDescent="0.25">
      <c r="A52" s="134" t="s">
        <v>380</v>
      </c>
      <c r="B52" s="134" t="s">
        <v>23</v>
      </c>
      <c r="C52" s="134" t="s">
        <v>381</v>
      </c>
      <c r="D52" s="135">
        <v>220100</v>
      </c>
      <c r="E52" s="134" t="s">
        <v>420</v>
      </c>
      <c r="F52" s="134">
        <v>38</v>
      </c>
      <c r="G52" s="153" t="s">
        <v>439</v>
      </c>
      <c r="H52" s="134"/>
      <c r="I52" s="134">
        <v>1</v>
      </c>
      <c r="J52" s="136"/>
      <c r="K52" s="138">
        <f>VLOOKUP(F52,Plan2!$1:$1048576,8,FALSE)</f>
        <v>14.88</v>
      </c>
      <c r="L52" s="136">
        <v>41734</v>
      </c>
      <c r="M52" s="134" t="s">
        <v>401</v>
      </c>
      <c r="N52" s="134">
        <v>1</v>
      </c>
      <c r="O52" s="138">
        <f t="shared" si="0"/>
        <v>14.88</v>
      </c>
      <c r="P52" s="139">
        <v>42859</v>
      </c>
      <c r="Q52" s="140">
        <v>8214</v>
      </c>
      <c r="R52" s="168" t="s">
        <v>612</v>
      </c>
      <c r="S52" s="134">
        <v>35</v>
      </c>
      <c r="T52" s="134" t="s">
        <v>601</v>
      </c>
      <c r="U52" s="141"/>
    </row>
    <row r="53" spans="1:21" ht="31.5" customHeight="1" x14ac:dyDescent="0.25">
      <c r="A53" s="134" t="s">
        <v>380</v>
      </c>
      <c r="B53" s="134" t="s">
        <v>23</v>
      </c>
      <c r="C53" s="134" t="s">
        <v>381</v>
      </c>
      <c r="D53" s="135">
        <v>220100</v>
      </c>
      <c r="E53" s="134" t="s">
        <v>420</v>
      </c>
      <c r="F53" s="134">
        <v>41</v>
      </c>
      <c r="G53" s="153" t="s">
        <v>479</v>
      </c>
      <c r="H53" s="134"/>
      <c r="I53" s="134">
        <v>1</v>
      </c>
      <c r="J53" s="136"/>
      <c r="K53" s="138">
        <f>VLOOKUP(F53,Plan2!$1:$1048576,8,FALSE)</f>
        <v>14</v>
      </c>
      <c r="L53" s="136">
        <v>42830</v>
      </c>
      <c r="M53" s="134" t="s">
        <v>401</v>
      </c>
      <c r="N53" s="134">
        <v>1</v>
      </c>
      <c r="O53" s="138">
        <f t="shared" si="0"/>
        <v>14</v>
      </c>
      <c r="P53" s="139">
        <v>42859</v>
      </c>
      <c r="Q53" s="140">
        <v>8214</v>
      </c>
      <c r="R53" s="168" t="s">
        <v>612</v>
      </c>
      <c r="S53" s="134">
        <v>35</v>
      </c>
      <c r="T53" s="134" t="s">
        <v>601</v>
      </c>
      <c r="U53" s="141"/>
    </row>
    <row r="54" spans="1:21" ht="46.5" customHeight="1" x14ac:dyDescent="0.25">
      <c r="A54" s="134" t="s">
        <v>380</v>
      </c>
      <c r="B54" s="134" t="s">
        <v>23</v>
      </c>
      <c r="C54" s="134" t="s">
        <v>381</v>
      </c>
      <c r="D54" s="135">
        <v>220100</v>
      </c>
      <c r="E54" s="134" t="s">
        <v>420</v>
      </c>
      <c r="F54" s="134">
        <v>86</v>
      </c>
      <c r="G54" s="153" t="s">
        <v>480</v>
      </c>
      <c r="H54" s="134"/>
      <c r="I54" s="134">
        <v>1</v>
      </c>
      <c r="J54" s="136"/>
      <c r="K54" s="138">
        <f>VLOOKUP(F54,Plan2!$1:$1048576,8,FALSE)</f>
        <v>9</v>
      </c>
      <c r="L54" s="136">
        <v>42830</v>
      </c>
      <c r="M54" s="134" t="s">
        <v>402</v>
      </c>
      <c r="N54" s="134">
        <v>1</v>
      </c>
      <c r="O54" s="138">
        <f t="shared" si="0"/>
        <v>9</v>
      </c>
      <c r="P54" s="139">
        <v>42859</v>
      </c>
      <c r="Q54" s="168" t="s">
        <v>612</v>
      </c>
      <c r="R54" s="174">
        <v>339030</v>
      </c>
      <c r="S54" s="134">
        <v>35</v>
      </c>
      <c r="T54" s="134" t="s">
        <v>601</v>
      </c>
      <c r="U54" s="141"/>
    </row>
    <row r="55" spans="1:21" ht="46.5" customHeight="1" x14ac:dyDescent="0.25">
      <c r="A55" s="134" t="s">
        <v>380</v>
      </c>
      <c r="B55" s="134" t="s">
        <v>23</v>
      </c>
      <c r="C55" s="134" t="s">
        <v>381</v>
      </c>
      <c r="D55" s="135">
        <v>220100</v>
      </c>
      <c r="E55" s="134" t="s">
        <v>420</v>
      </c>
      <c r="F55" s="134">
        <v>52</v>
      </c>
      <c r="G55" s="153" t="s">
        <v>481</v>
      </c>
      <c r="H55" s="134"/>
      <c r="I55" s="134">
        <v>1</v>
      </c>
      <c r="J55" s="136"/>
      <c r="K55" s="138">
        <f>VLOOKUP(F55,Plan2!$1:$1048576,8,FALSE)</f>
        <v>9.3000000000000007</v>
      </c>
      <c r="L55" s="136">
        <v>42830</v>
      </c>
      <c r="M55" s="134" t="s">
        <v>401</v>
      </c>
      <c r="N55" s="134">
        <v>1</v>
      </c>
      <c r="O55" s="138">
        <f t="shared" si="0"/>
        <v>9.3000000000000007</v>
      </c>
      <c r="P55" s="139">
        <v>42859</v>
      </c>
      <c r="Q55" s="140">
        <v>8214</v>
      </c>
      <c r="R55" s="168" t="s">
        <v>612</v>
      </c>
      <c r="S55" s="134">
        <v>35</v>
      </c>
      <c r="T55" s="134" t="s">
        <v>601</v>
      </c>
      <c r="U55" s="141"/>
    </row>
    <row r="56" spans="1:21" ht="46.5" customHeight="1" x14ac:dyDescent="0.25">
      <c r="A56" s="134" t="s">
        <v>380</v>
      </c>
      <c r="B56" s="134" t="s">
        <v>23</v>
      </c>
      <c r="C56" s="134" t="s">
        <v>381</v>
      </c>
      <c r="D56" s="135">
        <v>220100</v>
      </c>
      <c r="E56" s="134" t="s">
        <v>420</v>
      </c>
      <c r="F56" s="134">
        <v>95</v>
      </c>
      <c r="G56" s="153" t="s">
        <v>482</v>
      </c>
      <c r="H56" s="134"/>
      <c r="I56" s="134">
        <v>1</v>
      </c>
      <c r="J56" s="136"/>
      <c r="K56" s="138">
        <f>VLOOKUP(F56,Plan2!$1:$1048576,8,FALSE)</f>
        <v>3.23</v>
      </c>
      <c r="L56" s="136">
        <v>42830</v>
      </c>
      <c r="M56" s="134" t="s">
        <v>402</v>
      </c>
      <c r="N56" s="134">
        <v>1</v>
      </c>
      <c r="O56" s="138">
        <f t="shared" si="0"/>
        <v>3.23</v>
      </c>
      <c r="P56" s="139">
        <v>42859</v>
      </c>
      <c r="Q56" s="168" t="s">
        <v>612</v>
      </c>
      <c r="R56" s="134">
        <v>339030</v>
      </c>
      <c r="S56" s="134">
        <v>35</v>
      </c>
      <c r="T56" s="134" t="s">
        <v>601</v>
      </c>
      <c r="U56" s="141"/>
    </row>
    <row r="57" spans="1:21" ht="46.5" customHeight="1" x14ac:dyDescent="0.25">
      <c r="A57" s="134" t="s">
        <v>380</v>
      </c>
      <c r="B57" s="134" t="s">
        <v>23</v>
      </c>
      <c r="C57" s="134" t="s">
        <v>381</v>
      </c>
      <c r="D57" s="135">
        <v>220100</v>
      </c>
      <c r="E57" s="134" t="s">
        <v>420</v>
      </c>
      <c r="F57" s="134">
        <v>97</v>
      </c>
      <c r="G57" s="153" t="s">
        <v>464</v>
      </c>
      <c r="H57" s="134"/>
      <c r="I57" s="134">
        <v>1</v>
      </c>
      <c r="J57" s="136"/>
      <c r="K57" s="138">
        <f>VLOOKUP(F57,Plan2!$1:$1048576,8,FALSE)</f>
        <v>4.66</v>
      </c>
      <c r="L57" s="136">
        <v>42830</v>
      </c>
      <c r="M57" s="134" t="s">
        <v>402</v>
      </c>
      <c r="N57" s="134">
        <v>1</v>
      </c>
      <c r="O57" s="138">
        <f t="shared" si="0"/>
        <v>4.66</v>
      </c>
      <c r="P57" s="139">
        <v>42859</v>
      </c>
      <c r="Q57" s="168" t="s">
        <v>612</v>
      </c>
      <c r="R57" s="134">
        <v>339030</v>
      </c>
      <c r="S57" s="134">
        <v>35</v>
      </c>
      <c r="T57" s="134" t="s">
        <v>601</v>
      </c>
      <c r="U57" s="141"/>
    </row>
    <row r="58" spans="1:21" ht="46.5" customHeight="1" x14ac:dyDescent="0.25">
      <c r="A58" s="134" t="s">
        <v>380</v>
      </c>
      <c r="B58" s="134" t="s">
        <v>23</v>
      </c>
      <c r="C58" s="134" t="s">
        <v>381</v>
      </c>
      <c r="D58" s="135">
        <v>220100</v>
      </c>
      <c r="E58" s="134" t="s">
        <v>420</v>
      </c>
      <c r="F58" s="134">
        <v>108</v>
      </c>
      <c r="G58" s="153" t="s">
        <v>483</v>
      </c>
      <c r="H58" s="134"/>
      <c r="I58" s="134">
        <v>2</v>
      </c>
      <c r="J58" s="136"/>
      <c r="K58" s="138">
        <f>VLOOKUP(F58,Plan2!$1:$1048576,8,FALSE)</f>
        <v>6.49</v>
      </c>
      <c r="L58" s="136">
        <v>42830</v>
      </c>
      <c r="M58" s="134" t="s">
        <v>402</v>
      </c>
      <c r="N58" s="134">
        <v>2</v>
      </c>
      <c r="O58" s="138">
        <f t="shared" si="0"/>
        <v>12.98</v>
      </c>
      <c r="P58" s="139">
        <v>42859</v>
      </c>
      <c r="Q58" s="168" t="s">
        <v>612</v>
      </c>
      <c r="R58" s="134">
        <v>339030</v>
      </c>
      <c r="S58" s="134">
        <v>35</v>
      </c>
      <c r="T58" s="134" t="s">
        <v>601</v>
      </c>
      <c r="U58" s="141"/>
    </row>
    <row r="59" spans="1:21" ht="46.5" customHeight="1" x14ac:dyDescent="0.25">
      <c r="A59" s="134" t="s">
        <v>380</v>
      </c>
      <c r="B59" s="134" t="s">
        <v>23</v>
      </c>
      <c r="C59" s="134" t="s">
        <v>381</v>
      </c>
      <c r="D59" s="135">
        <v>220300</v>
      </c>
      <c r="E59" s="134" t="s">
        <v>384</v>
      </c>
      <c r="F59" s="134">
        <v>97</v>
      </c>
      <c r="G59" s="153" t="s">
        <v>464</v>
      </c>
      <c r="H59" s="134"/>
      <c r="I59" s="134">
        <v>20</v>
      </c>
      <c r="J59" s="136"/>
      <c r="K59" s="138">
        <f>VLOOKUP(F59,Plan2!$1:$1048576,8,FALSE)</f>
        <v>4.66</v>
      </c>
      <c r="L59" s="136">
        <v>42830</v>
      </c>
      <c r="M59" s="134" t="s">
        <v>402</v>
      </c>
      <c r="N59" s="134">
        <v>20</v>
      </c>
      <c r="O59" s="138">
        <f t="shared" si="0"/>
        <v>93.2</v>
      </c>
      <c r="P59" s="139">
        <v>42859</v>
      </c>
      <c r="Q59" s="168" t="s">
        <v>612</v>
      </c>
      <c r="R59" s="134">
        <v>339030</v>
      </c>
      <c r="S59" s="134">
        <v>35</v>
      </c>
      <c r="T59" s="134" t="s">
        <v>601</v>
      </c>
      <c r="U59" s="141"/>
    </row>
    <row r="60" spans="1:21" ht="46.5" customHeight="1" x14ac:dyDescent="0.25">
      <c r="A60" s="134" t="s">
        <v>380</v>
      </c>
      <c r="B60" s="134" t="s">
        <v>23</v>
      </c>
      <c r="C60" s="134" t="s">
        <v>381</v>
      </c>
      <c r="D60" s="135">
        <v>220300</v>
      </c>
      <c r="E60" s="134" t="s">
        <v>384</v>
      </c>
      <c r="F60" s="134">
        <v>103</v>
      </c>
      <c r="G60" s="153" t="s">
        <v>484</v>
      </c>
      <c r="H60" s="134"/>
      <c r="I60" s="134">
        <v>30</v>
      </c>
      <c r="J60" s="136"/>
      <c r="K60" s="138">
        <f>VLOOKUP(F60,Plan2!$1:$1048576,8,FALSE)</f>
        <v>4.12</v>
      </c>
      <c r="L60" s="136">
        <v>42830</v>
      </c>
      <c r="M60" s="134" t="s">
        <v>402</v>
      </c>
      <c r="N60" s="134">
        <v>30</v>
      </c>
      <c r="O60" s="138">
        <f t="shared" si="0"/>
        <v>123.60000000000001</v>
      </c>
      <c r="P60" s="139">
        <v>42859</v>
      </c>
      <c r="Q60" s="168" t="s">
        <v>612</v>
      </c>
      <c r="R60" s="134">
        <v>339030</v>
      </c>
      <c r="S60" s="134">
        <v>35</v>
      </c>
      <c r="T60" s="134" t="s">
        <v>601</v>
      </c>
      <c r="U60" s="141"/>
    </row>
    <row r="61" spans="1:21" ht="72" customHeight="1" x14ac:dyDescent="0.25">
      <c r="A61" s="134" t="s">
        <v>380</v>
      </c>
      <c r="B61" s="134" t="s">
        <v>23</v>
      </c>
      <c r="C61" s="134" t="s">
        <v>381</v>
      </c>
      <c r="D61" s="135">
        <v>220300</v>
      </c>
      <c r="E61" s="134" t="s">
        <v>384</v>
      </c>
      <c r="F61" s="134">
        <v>110</v>
      </c>
      <c r="G61" s="153" t="s">
        <v>485</v>
      </c>
      <c r="H61" s="134"/>
      <c r="I61" s="134">
        <v>1</v>
      </c>
      <c r="J61" s="136"/>
      <c r="K61" s="134">
        <f>VLOOKUP(F61,Plan2!$1:$1048576,8,FALSE)</f>
        <v>114.99</v>
      </c>
      <c r="L61" s="136"/>
      <c r="M61" s="134"/>
      <c r="N61" s="134"/>
      <c r="O61" s="138">
        <f t="shared" si="0"/>
        <v>0</v>
      </c>
      <c r="P61" s="139"/>
      <c r="Q61" s="140"/>
      <c r="R61" s="174"/>
      <c r="S61" s="134"/>
      <c r="T61" s="134" t="s">
        <v>403</v>
      </c>
      <c r="U61" s="141"/>
    </row>
    <row r="62" spans="1:21" ht="46.5" customHeight="1" x14ac:dyDescent="0.25">
      <c r="A62" s="134" t="s">
        <v>380</v>
      </c>
      <c r="B62" s="134" t="s">
        <v>23</v>
      </c>
      <c r="C62" s="134" t="s">
        <v>381</v>
      </c>
      <c r="D62" s="135">
        <v>220500</v>
      </c>
      <c r="E62" s="134" t="s">
        <v>385</v>
      </c>
      <c r="F62" s="134">
        <v>41</v>
      </c>
      <c r="G62" s="153" t="s">
        <v>479</v>
      </c>
      <c r="H62" s="134"/>
      <c r="I62" s="134">
        <v>2</v>
      </c>
      <c r="J62" s="136"/>
      <c r="K62" s="138">
        <f>VLOOKUP(F62,Plan2!$1:$1048576,8,FALSE)</f>
        <v>14</v>
      </c>
      <c r="L62" s="136">
        <v>42830</v>
      </c>
      <c r="M62" s="134" t="s">
        <v>401</v>
      </c>
      <c r="N62" s="134">
        <v>2</v>
      </c>
      <c r="O62" s="138">
        <f t="shared" si="0"/>
        <v>28</v>
      </c>
      <c r="P62" s="139">
        <v>42859</v>
      </c>
      <c r="Q62" s="140">
        <v>8214</v>
      </c>
      <c r="R62" s="168" t="s">
        <v>612</v>
      </c>
      <c r="S62" s="134">
        <v>35</v>
      </c>
      <c r="T62" s="134" t="s">
        <v>601</v>
      </c>
      <c r="U62" s="141"/>
    </row>
    <row r="63" spans="1:21" ht="46.5" customHeight="1" x14ac:dyDescent="0.25">
      <c r="A63" s="134" t="s">
        <v>380</v>
      </c>
      <c r="B63" s="134" t="s">
        <v>23</v>
      </c>
      <c r="C63" s="134" t="s">
        <v>381</v>
      </c>
      <c r="D63" s="135">
        <v>220500</v>
      </c>
      <c r="E63" s="134" t="s">
        <v>385</v>
      </c>
      <c r="F63" s="134">
        <v>109</v>
      </c>
      <c r="G63" s="153" t="s">
        <v>463</v>
      </c>
      <c r="H63" s="134"/>
      <c r="I63" s="134">
        <v>1</v>
      </c>
      <c r="J63" s="136"/>
      <c r="K63" s="138">
        <f>VLOOKUP(F63,Plan2!$1:$1048576,8,FALSE)</f>
        <v>39</v>
      </c>
      <c r="L63" s="136">
        <v>42830</v>
      </c>
      <c r="M63" s="134" t="s">
        <v>402</v>
      </c>
      <c r="N63" s="134">
        <v>1</v>
      </c>
      <c r="O63" s="138">
        <f t="shared" si="0"/>
        <v>39</v>
      </c>
      <c r="P63" s="139">
        <v>42859</v>
      </c>
      <c r="Q63" s="168" t="s">
        <v>612</v>
      </c>
      <c r="R63" s="174">
        <v>339030</v>
      </c>
      <c r="S63" s="134">
        <v>35</v>
      </c>
      <c r="T63" s="134" t="s">
        <v>601</v>
      </c>
      <c r="U63" s="141"/>
    </row>
    <row r="64" spans="1:21" ht="46.5" customHeight="1" x14ac:dyDescent="0.25">
      <c r="A64" s="134" t="s">
        <v>380</v>
      </c>
      <c r="B64" s="134" t="s">
        <v>23</v>
      </c>
      <c r="C64" s="134" t="s">
        <v>381</v>
      </c>
      <c r="D64" s="135">
        <v>220500</v>
      </c>
      <c r="E64" s="134" t="s">
        <v>385</v>
      </c>
      <c r="F64" s="134">
        <v>52</v>
      </c>
      <c r="G64" s="153" t="s">
        <v>481</v>
      </c>
      <c r="H64" s="134"/>
      <c r="I64" s="134">
        <v>2</v>
      </c>
      <c r="J64" s="136"/>
      <c r="K64" s="134">
        <f>VLOOKUP(F64,Plan2!$1:$1048576,8,FALSE)</f>
        <v>9.3000000000000007</v>
      </c>
      <c r="L64" s="136">
        <v>42830</v>
      </c>
      <c r="M64" s="134" t="s">
        <v>401</v>
      </c>
      <c r="N64" s="134">
        <v>2</v>
      </c>
      <c r="O64" s="138">
        <f t="shared" si="0"/>
        <v>18.600000000000001</v>
      </c>
      <c r="P64" s="139">
        <v>42859</v>
      </c>
      <c r="Q64" s="140">
        <v>8214</v>
      </c>
      <c r="R64" s="168" t="s">
        <v>612</v>
      </c>
      <c r="S64" s="134">
        <v>35</v>
      </c>
      <c r="T64" s="134" t="s">
        <v>601</v>
      </c>
      <c r="U64" s="141"/>
    </row>
    <row r="65" spans="1:21" ht="46.5" customHeight="1" x14ac:dyDescent="0.25">
      <c r="A65" s="134" t="s">
        <v>380</v>
      </c>
      <c r="B65" s="134" t="s">
        <v>23</v>
      </c>
      <c r="C65" s="134" t="s">
        <v>381</v>
      </c>
      <c r="D65" s="135">
        <v>220500</v>
      </c>
      <c r="E65" s="134" t="s">
        <v>385</v>
      </c>
      <c r="F65" s="134">
        <v>54</v>
      </c>
      <c r="G65" s="153" t="s">
        <v>444</v>
      </c>
      <c r="H65" s="134"/>
      <c r="I65" s="134">
        <v>5</v>
      </c>
      <c r="J65" s="136"/>
      <c r="K65" s="134">
        <f>VLOOKUP(F65,Plan2!$1:$1048576,8,FALSE)</f>
        <v>3.99</v>
      </c>
      <c r="L65" s="136">
        <v>42830</v>
      </c>
      <c r="M65" s="134" t="s">
        <v>401</v>
      </c>
      <c r="N65" s="134">
        <v>5</v>
      </c>
      <c r="O65" s="138">
        <f t="shared" si="0"/>
        <v>19.950000000000003</v>
      </c>
      <c r="P65" s="139">
        <v>42859</v>
      </c>
      <c r="Q65" s="140">
        <v>8214</v>
      </c>
      <c r="R65" s="168" t="s">
        <v>612</v>
      </c>
      <c r="S65" s="134">
        <v>35</v>
      </c>
      <c r="T65" s="134" t="s">
        <v>601</v>
      </c>
      <c r="U65" s="141"/>
    </row>
    <row r="66" spans="1:21" ht="46.5" customHeight="1" x14ac:dyDescent="0.25">
      <c r="A66" s="134" t="s">
        <v>380</v>
      </c>
      <c r="B66" s="134" t="s">
        <v>23</v>
      </c>
      <c r="C66" s="134" t="s">
        <v>381</v>
      </c>
      <c r="D66" s="135">
        <v>220500</v>
      </c>
      <c r="E66" s="134" t="s">
        <v>385</v>
      </c>
      <c r="F66" s="134">
        <v>92</v>
      </c>
      <c r="G66" s="153" t="s">
        <v>449</v>
      </c>
      <c r="H66" s="134"/>
      <c r="I66" s="134">
        <v>3</v>
      </c>
      <c r="J66" s="136"/>
      <c r="K66" s="138">
        <f>VLOOKUP(F66,Plan2!$1:$1048576,8,FALSE)</f>
        <v>5.7</v>
      </c>
      <c r="L66" s="136">
        <v>42830</v>
      </c>
      <c r="M66" s="134" t="s">
        <v>394</v>
      </c>
      <c r="N66" s="134">
        <v>3</v>
      </c>
      <c r="O66" s="138">
        <f t="shared" si="0"/>
        <v>17.100000000000001</v>
      </c>
      <c r="P66" s="169">
        <v>42894</v>
      </c>
      <c r="Q66" s="168" t="s">
        <v>602</v>
      </c>
      <c r="R66" s="134">
        <v>339030</v>
      </c>
      <c r="S66" s="134">
        <v>35</v>
      </c>
      <c r="T66" s="134" t="s">
        <v>601</v>
      </c>
      <c r="U66" s="141"/>
    </row>
    <row r="67" spans="1:21" ht="46.5" customHeight="1" x14ac:dyDescent="0.25">
      <c r="A67" s="134" t="s">
        <v>380</v>
      </c>
      <c r="B67" s="134" t="s">
        <v>23</v>
      </c>
      <c r="C67" s="134" t="s">
        <v>381</v>
      </c>
      <c r="D67" s="135">
        <v>220500</v>
      </c>
      <c r="E67" s="134" t="s">
        <v>385</v>
      </c>
      <c r="F67" s="134">
        <v>120</v>
      </c>
      <c r="G67" s="153" t="s">
        <v>453</v>
      </c>
      <c r="H67" s="134"/>
      <c r="I67" s="134">
        <v>3</v>
      </c>
      <c r="J67" s="136"/>
      <c r="K67" s="138">
        <f>VLOOKUP(F67,Plan2!$1:$1048576,8,FALSE)</f>
        <v>2.2000000000000002</v>
      </c>
      <c r="L67" s="136">
        <v>42830</v>
      </c>
      <c r="M67" s="134" t="s">
        <v>402</v>
      </c>
      <c r="N67" s="134">
        <v>3</v>
      </c>
      <c r="O67" s="138">
        <f t="shared" ref="O67:O130" si="1">N67*K67</f>
        <v>6.6000000000000005</v>
      </c>
      <c r="P67" s="139">
        <v>42859</v>
      </c>
      <c r="Q67" s="168" t="s">
        <v>612</v>
      </c>
      <c r="R67" s="134">
        <v>339030</v>
      </c>
      <c r="S67" s="134">
        <v>35</v>
      </c>
      <c r="T67" s="134" t="s">
        <v>601</v>
      </c>
      <c r="U67" s="141"/>
    </row>
    <row r="68" spans="1:21" ht="71.25" customHeight="1" x14ac:dyDescent="0.25">
      <c r="A68" s="134" t="s">
        <v>380</v>
      </c>
      <c r="B68" s="134" t="s">
        <v>23</v>
      </c>
      <c r="C68" s="134" t="s">
        <v>381</v>
      </c>
      <c r="D68" s="135">
        <v>220500</v>
      </c>
      <c r="E68" s="134" t="s">
        <v>385</v>
      </c>
      <c r="F68" s="134">
        <v>122</v>
      </c>
      <c r="G68" s="153" t="s">
        <v>471</v>
      </c>
      <c r="H68" s="134"/>
      <c r="I68" s="134">
        <v>3</v>
      </c>
      <c r="J68" s="136"/>
      <c r="K68" s="138">
        <f>VLOOKUP(F68,Plan2!$1:$1048576,8,FALSE)</f>
        <v>2.78</v>
      </c>
      <c r="L68" s="136">
        <v>42830</v>
      </c>
      <c r="M68" s="134" t="s">
        <v>402</v>
      </c>
      <c r="N68" s="134">
        <v>3</v>
      </c>
      <c r="O68" s="138">
        <f t="shared" si="1"/>
        <v>8.34</v>
      </c>
      <c r="P68" s="139">
        <v>42859</v>
      </c>
      <c r="Q68" s="168" t="s">
        <v>612</v>
      </c>
      <c r="R68" s="134">
        <v>339030</v>
      </c>
      <c r="S68" s="134">
        <v>35</v>
      </c>
      <c r="T68" s="134" t="s">
        <v>601</v>
      </c>
      <c r="U68" s="141"/>
    </row>
    <row r="69" spans="1:21" ht="71.25" customHeight="1" x14ac:dyDescent="0.25">
      <c r="A69" s="134" t="s">
        <v>380</v>
      </c>
      <c r="B69" s="134" t="s">
        <v>23</v>
      </c>
      <c r="C69" s="134" t="s">
        <v>381</v>
      </c>
      <c r="D69" s="135">
        <v>220500</v>
      </c>
      <c r="E69" s="134" t="s">
        <v>385</v>
      </c>
      <c r="F69" s="134">
        <v>124</v>
      </c>
      <c r="G69" s="153" t="s">
        <v>454</v>
      </c>
      <c r="H69" s="134"/>
      <c r="I69" s="134">
        <v>3</v>
      </c>
      <c r="J69" s="136"/>
      <c r="K69" s="134">
        <f>VLOOKUP(F69,Plan2!$1:$1048576,8,FALSE)</f>
        <v>5.99</v>
      </c>
      <c r="L69" s="136">
        <v>41734</v>
      </c>
      <c r="M69" s="134" t="s">
        <v>402</v>
      </c>
      <c r="N69" s="134">
        <v>3</v>
      </c>
      <c r="O69" s="138">
        <f t="shared" si="1"/>
        <v>17.97</v>
      </c>
      <c r="P69" s="139">
        <v>42859</v>
      </c>
      <c r="Q69" s="168" t="s">
        <v>612</v>
      </c>
      <c r="R69" s="134">
        <v>339030</v>
      </c>
      <c r="S69" s="134">
        <v>35</v>
      </c>
      <c r="T69" s="134" t="s">
        <v>601</v>
      </c>
      <c r="U69" s="141"/>
    </row>
    <row r="70" spans="1:21" ht="71.25" customHeight="1" x14ac:dyDescent="0.25">
      <c r="A70" s="134" t="s">
        <v>380</v>
      </c>
      <c r="B70" s="134" t="s">
        <v>23</v>
      </c>
      <c r="C70" s="134" t="s">
        <v>381</v>
      </c>
      <c r="D70" s="135">
        <v>220500</v>
      </c>
      <c r="E70" s="134" t="s">
        <v>385</v>
      </c>
      <c r="F70" s="134">
        <v>137</v>
      </c>
      <c r="G70" s="153" t="s">
        <v>475</v>
      </c>
      <c r="H70" s="134"/>
      <c r="I70" s="134">
        <v>2</v>
      </c>
      <c r="J70" s="136"/>
      <c r="K70" s="134">
        <f>VLOOKUP(F70,Plan2!$1:$1048576,8,FALSE)</f>
        <v>6.3</v>
      </c>
      <c r="L70" s="136">
        <v>42830</v>
      </c>
      <c r="M70" s="134" t="s">
        <v>402</v>
      </c>
      <c r="N70" s="134">
        <v>2</v>
      </c>
      <c r="O70" s="138">
        <f t="shared" si="1"/>
        <v>12.6</v>
      </c>
      <c r="P70" s="139">
        <v>42859</v>
      </c>
      <c r="Q70" s="168" t="s">
        <v>612</v>
      </c>
      <c r="R70" s="134">
        <v>339030</v>
      </c>
      <c r="S70" s="134">
        <v>35</v>
      </c>
      <c r="T70" s="134" t="s">
        <v>601</v>
      </c>
      <c r="U70" s="141"/>
    </row>
    <row r="71" spans="1:21" ht="71.25" customHeight="1" x14ac:dyDescent="0.25">
      <c r="A71" s="134" t="s">
        <v>380</v>
      </c>
      <c r="B71" s="134" t="s">
        <v>23</v>
      </c>
      <c r="C71" s="134" t="s">
        <v>381</v>
      </c>
      <c r="D71" s="135">
        <v>220500</v>
      </c>
      <c r="E71" s="134" t="s">
        <v>385</v>
      </c>
      <c r="F71" s="134">
        <v>138</v>
      </c>
      <c r="G71" s="153" t="s">
        <v>486</v>
      </c>
      <c r="H71" s="134"/>
      <c r="I71" s="134">
        <v>5</v>
      </c>
      <c r="J71" s="136"/>
      <c r="K71" s="138">
        <f>VLOOKUP(F71,Plan2!$1:$1048576,8,FALSE)</f>
        <v>5.95</v>
      </c>
      <c r="L71" s="136">
        <v>42830</v>
      </c>
      <c r="M71" s="134" t="s">
        <v>402</v>
      </c>
      <c r="N71" s="134">
        <v>5</v>
      </c>
      <c r="O71" s="138">
        <f t="shared" si="1"/>
        <v>29.75</v>
      </c>
      <c r="P71" s="139">
        <v>42859</v>
      </c>
      <c r="Q71" s="168" t="s">
        <v>612</v>
      </c>
      <c r="R71" s="134">
        <v>339030</v>
      </c>
      <c r="S71" s="134">
        <v>35</v>
      </c>
      <c r="T71" s="134" t="s">
        <v>601</v>
      </c>
      <c r="U71" s="141"/>
    </row>
    <row r="72" spans="1:21" ht="46.5" customHeight="1" x14ac:dyDescent="0.25">
      <c r="A72" s="134" t="s">
        <v>380</v>
      </c>
      <c r="B72" s="134" t="s">
        <v>23</v>
      </c>
      <c r="C72" s="134" t="s">
        <v>381</v>
      </c>
      <c r="D72" s="135">
        <v>260000</v>
      </c>
      <c r="E72" s="134" t="s">
        <v>386</v>
      </c>
      <c r="F72" s="134">
        <v>109</v>
      </c>
      <c r="G72" s="153" t="s">
        <v>463</v>
      </c>
      <c r="H72" s="134"/>
      <c r="I72" s="134">
        <v>2</v>
      </c>
      <c r="J72" s="136"/>
      <c r="K72" s="138">
        <f>VLOOKUP(F72,Plan2!$1:$1048576,8,FALSE)</f>
        <v>39</v>
      </c>
      <c r="L72" s="136">
        <v>42830</v>
      </c>
      <c r="M72" s="134" t="s">
        <v>402</v>
      </c>
      <c r="N72" s="134">
        <v>2</v>
      </c>
      <c r="O72" s="138">
        <f t="shared" si="1"/>
        <v>78</v>
      </c>
      <c r="P72" s="139">
        <v>42859</v>
      </c>
      <c r="Q72" s="168" t="s">
        <v>612</v>
      </c>
      <c r="R72" s="134">
        <v>339030</v>
      </c>
      <c r="S72" s="134">
        <v>35</v>
      </c>
      <c r="T72" s="134" t="s">
        <v>601</v>
      </c>
      <c r="U72" s="141"/>
    </row>
    <row r="73" spans="1:21" ht="46.5" customHeight="1" x14ac:dyDescent="0.25">
      <c r="A73" s="134" t="s">
        <v>380</v>
      </c>
      <c r="B73" s="134" t="s">
        <v>23</v>
      </c>
      <c r="C73" s="134" t="s">
        <v>381</v>
      </c>
      <c r="D73" s="135">
        <v>260000</v>
      </c>
      <c r="E73" s="134" t="s">
        <v>386</v>
      </c>
      <c r="F73" s="134">
        <v>140</v>
      </c>
      <c r="G73" s="153" t="s">
        <v>476</v>
      </c>
      <c r="H73" s="134"/>
      <c r="I73" s="134">
        <v>10</v>
      </c>
      <c r="J73" s="136"/>
      <c r="K73" s="138">
        <f>VLOOKUP(F73,Plan2!$1:$1048576,8,FALSE)</f>
        <v>4.51</v>
      </c>
      <c r="L73" s="136">
        <v>42830</v>
      </c>
      <c r="M73" s="134" t="s">
        <v>393</v>
      </c>
      <c r="N73" s="134">
        <v>10</v>
      </c>
      <c r="O73" s="138">
        <f t="shared" si="1"/>
        <v>45.099999999999994</v>
      </c>
      <c r="P73" s="167">
        <v>42920</v>
      </c>
      <c r="Q73" s="173" t="s">
        <v>608</v>
      </c>
      <c r="R73" s="134">
        <v>339030</v>
      </c>
      <c r="S73" s="134">
        <v>35</v>
      </c>
      <c r="T73" s="134" t="s">
        <v>601</v>
      </c>
      <c r="U73" s="141"/>
    </row>
    <row r="74" spans="1:21" ht="46.5" customHeight="1" x14ac:dyDescent="0.25">
      <c r="A74" s="134" t="s">
        <v>380</v>
      </c>
      <c r="B74" s="134" t="s">
        <v>23</v>
      </c>
      <c r="C74" s="134" t="s">
        <v>381</v>
      </c>
      <c r="D74" s="135">
        <v>230100</v>
      </c>
      <c r="E74" s="134" t="s">
        <v>387</v>
      </c>
      <c r="F74" s="134">
        <v>81</v>
      </c>
      <c r="G74" s="153" t="s">
        <v>443</v>
      </c>
      <c r="H74" s="134"/>
      <c r="I74" s="134">
        <v>5</v>
      </c>
      <c r="J74" s="136"/>
      <c r="K74" s="134">
        <f>VLOOKUP(F74,Plan2!$1:$1048576,8,FALSE)</f>
        <v>9.85</v>
      </c>
      <c r="L74" s="136">
        <v>42830</v>
      </c>
      <c r="M74" s="134" t="s">
        <v>402</v>
      </c>
      <c r="N74" s="134">
        <v>5</v>
      </c>
      <c r="O74" s="138">
        <f t="shared" si="1"/>
        <v>49.25</v>
      </c>
      <c r="P74" s="139">
        <v>42859</v>
      </c>
      <c r="Q74" s="168" t="s">
        <v>612</v>
      </c>
      <c r="R74" s="174">
        <v>339030</v>
      </c>
      <c r="S74" s="134">
        <v>35</v>
      </c>
      <c r="T74" s="134" t="s">
        <v>601</v>
      </c>
      <c r="U74" s="141"/>
    </row>
    <row r="75" spans="1:21" ht="46.5" customHeight="1" x14ac:dyDescent="0.25">
      <c r="A75" s="134" t="s">
        <v>380</v>
      </c>
      <c r="B75" s="134" t="s">
        <v>23</v>
      </c>
      <c r="C75" s="134" t="s">
        <v>381</v>
      </c>
      <c r="D75" s="135">
        <v>230100</v>
      </c>
      <c r="E75" s="134" t="s">
        <v>387</v>
      </c>
      <c r="F75" s="134">
        <v>52</v>
      </c>
      <c r="G75" s="153" t="s">
        <v>481</v>
      </c>
      <c r="H75" s="134"/>
      <c r="I75" s="134">
        <v>5</v>
      </c>
      <c r="J75" s="136"/>
      <c r="K75" s="138">
        <f>VLOOKUP(F75,Plan2!$1:$1048576,8,FALSE)</f>
        <v>9.3000000000000007</v>
      </c>
      <c r="L75" s="136">
        <v>42830</v>
      </c>
      <c r="M75" s="134" t="s">
        <v>401</v>
      </c>
      <c r="N75" s="134">
        <v>5</v>
      </c>
      <c r="O75" s="138">
        <f t="shared" si="1"/>
        <v>46.5</v>
      </c>
      <c r="P75" s="139">
        <v>42859</v>
      </c>
      <c r="Q75" s="140">
        <v>8214</v>
      </c>
      <c r="R75" s="168" t="s">
        <v>612</v>
      </c>
      <c r="S75" s="134">
        <v>35</v>
      </c>
      <c r="T75" s="134" t="s">
        <v>601</v>
      </c>
      <c r="U75" s="141"/>
    </row>
    <row r="76" spans="1:21" ht="46.5" customHeight="1" x14ac:dyDescent="0.25">
      <c r="A76" s="134" t="s">
        <v>380</v>
      </c>
      <c r="B76" s="134" t="s">
        <v>23</v>
      </c>
      <c r="C76" s="134" t="s">
        <v>381</v>
      </c>
      <c r="D76" s="135">
        <v>230100</v>
      </c>
      <c r="E76" s="134" t="s">
        <v>387</v>
      </c>
      <c r="F76" s="134">
        <v>98</v>
      </c>
      <c r="G76" s="153" t="s">
        <v>446</v>
      </c>
      <c r="H76" s="134"/>
      <c r="I76" s="134">
        <v>5</v>
      </c>
      <c r="J76" s="136"/>
      <c r="K76" s="138">
        <f>VLOOKUP(F76,Plan2!$1:$1048576,8,FALSE)</f>
        <v>4.87</v>
      </c>
      <c r="L76" s="136">
        <v>42830</v>
      </c>
      <c r="M76" s="134" t="s">
        <v>402</v>
      </c>
      <c r="N76" s="134">
        <v>5</v>
      </c>
      <c r="O76" s="138">
        <f t="shared" si="1"/>
        <v>24.35</v>
      </c>
      <c r="P76" s="139">
        <v>42859</v>
      </c>
      <c r="Q76" s="168" t="s">
        <v>612</v>
      </c>
      <c r="R76" s="134">
        <v>339030</v>
      </c>
      <c r="S76" s="134">
        <v>35</v>
      </c>
      <c r="T76" s="134" t="s">
        <v>601</v>
      </c>
      <c r="U76" s="141"/>
    </row>
    <row r="77" spans="1:21" ht="46.5" customHeight="1" x14ac:dyDescent="0.25">
      <c r="A77" s="134" t="s">
        <v>380</v>
      </c>
      <c r="B77" s="134" t="s">
        <v>23</v>
      </c>
      <c r="C77" s="134" t="s">
        <v>381</v>
      </c>
      <c r="D77" s="135">
        <v>230100</v>
      </c>
      <c r="E77" s="134" t="s">
        <v>387</v>
      </c>
      <c r="F77" s="134">
        <v>132</v>
      </c>
      <c r="G77" s="153" t="s">
        <v>487</v>
      </c>
      <c r="H77" s="134"/>
      <c r="I77" s="134">
        <v>10</v>
      </c>
      <c r="J77" s="136"/>
      <c r="K77" s="138">
        <f>VLOOKUP(F77,Plan2!$1:$1048576,8,FALSE)</f>
        <v>3.9</v>
      </c>
      <c r="L77" s="136">
        <v>42830</v>
      </c>
      <c r="M77" s="134" t="s">
        <v>393</v>
      </c>
      <c r="N77" s="134">
        <v>10</v>
      </c>
      <c r="O77" s="138">
        <f t="shared" si="1"/>
        <v>39</v>
      </c>
      <c r="P77" s="167">
        <v>42920</v>
      </c>
      <c r="Q77" s="173" t="s">
        <v>608</v>
      </c>
      <c r="R77" s="134">
        <v>339030</v>
      </c>
      <c r="S77" s="134">
        <v>35</v>
      </c>
      <c r="T77" s="134" t="s">
        <v>601</v>
      </c>
      <c r="U77" s="141"/>
    </row>
    <row r="78" spans="1:21" ht="46.5" customHeight="1" x14ac:dyDescent="0.25">
      <c r="A78" s="134" t="s">
        <v>380</v>
      </c>
      <c r="B78" s="134" t="s">
        <v>23</v>
      </c>
      <c r="C78" s="134" t="s">
        <v>381</v>
      </c>
      <c r="D78" s="135">
        <v>230100</v>
      </c>
      <c r="E78" s="134" t="s">
        <v>387</v>
      </c>
      <c r="F78" s="134">
        <v>135</v>
      </c>
      <c r="G78" s="153" t="s">
        <v>488</v>
      </c>
      <c r="H78" s="134"/>
      <c r="I78" s="134">
        <v>2</v>
      </c>
      <c r="J78" s="136"/>
      <c r="K78" s="138">
        <f>VLOOKUP(F78,Plan2!$1:$1048576,8,FALSE)</f>
        <v>83.11</v>
      </c>
      <c r="L78" s="136">
        <v>42830</v>
      </c>
      <c r="M78" s="134" t="s">
        <v>402</v>
      </c>
      <c r="N78" s="134">
        <v>2</v>
      </c>
      <c r="O78" s="138">
        <f t="shared" si="1"/>
        <v>166.22</v>
      </c>
      <c r="P78" s="139">
        <v>42859</v>
      </c>
      <c r="Q78" s="168" t="s">
        <v>612</v>
      </c>
      <c r="R78" s="134">
        <v>339030</v>
      </c>
      <c r="S78" s="134">
        <v>35</v>
      </c>
      <c r="T78" s="134" t="s">
        <v>601</v>
      </c>
      <c r="U78" s="141"/>
    </row>
    <row r="79" spans="1:21" ht="46.5" customHeight="1" x14ac:dyDescent="0.25">
      <c r="A79" s="134" t="s">
        <v>380</v>
      </c>
      <c r="B79" s="134" t="s">
        <v>23</v>
      </c>
      <c r="C79" s="134" t="s">
        <v>381</v>
      </c>
      <c r="D79" s="135">
        <v>230100</v>
      </c>
      <c r="E79" s="134" t="s">
        <v>387</v>
      </c>
      <c r="F79" s="134">
        <v>146</v>
      </c>
      <c r="G79" s="153" t="s">
        <v>478</v>
      </c>
      <c r="H79" s="134"/>
      <c r="I79" s="134">
        <v>10</v>
      </c>
      <c r="J79" s="136"/>
      <c r="K79" s="138">
        <f>VLOOKUP(F79,Plan2!$1:$1048576,8,FALSE)</f>
        <v>3.3</v>
      </c>
      <c r="L79" s="136">
        <v>42830</v>
      </c>
      <c r="M79" s="134" t="s">
        <v>402</v>
      </c>
      <c r="N79" s="134">
        <v>10</v>
      </c>
      <c r="O79" s="138">
        <f t="shared" si="1"/>
        <v>33</v>
      </c>
      <c r="P79" s="139">
        <v>42859</v>
      </c>
      <c r="Q79" s="168" t="s">
        <v>612</v>
      </c>
      <c r="R79" s="134">
        <v>339030</v>
      </c>
      <c r="S79" s="134">
        <v>35</v>
      </c>
      <c r="T79" s="134" t="s">
        <v>601</v>
      </c>
      <c r="U79" s="141"/>
    </row>
    <row r="80" spans="1:21" ht="46.5" customHeight="1" x14ac:dyDescent="0.25">
      <c r="A80" s="134" t="s">
        <v>380</v>
      </c>
      <c r="B80" s="134" t="s">
        <v>23</v>
      </c>
      <c r="C80" s="134" t="s">
        <v>381</v>
      </c>
      <c r="D80" s="135">
        <v>270400</v>
      </c>
      <c r="E80" s="134" t="s">
        <v>388</v>
      </c>
      <c r="F80" s="134">
        <v>3</v>
      </c>
      <c r="G80" s="153" t="s">
        <v>489</v>
      </c>
      <c r="H80" s="134"/>
      <c r="I80" s="134">
        <v>10</v>
      </c>
      <c r="J80" s="136"/>
      <c r="K80" s="138">
        <f>VLOOKUP(F80,Plan2!$1:$1048576,8,FALSE)</f>
        <v>88</v>
      </c>
      <c r="L80" s="136">
        <v>42830</v>
      </c>
      <c r="M80" s="134" t="s">
        <v>392</v>
      </c>
      <c r="N80" s="134">
        <v>10</v>
      </c>
      <c r="O80" s="138">
        <f t="shared" si="1"/>
        <v>880</v>
      </c>
      <c r="P80" s="167">
        <v>42874</v>
      </c>
      <c r="Q80" s="168" t="s">
        <v>607</v>
      </c>
      <c r="R80" s="174">
        <v>339030</v>
      </c>
      <c r="S80" s="134">
        <v>35</v>
      </c>
      <c r="T80" s="134" t="s">
        <v>601</v>
      </c>
      <c r="U80" s="141"/>
    </row>
    <row r="81" spans="1:21" ht="46.5" customHeight="1" x14ac:dyDescent="0.25">
      <c r="A81" s="134" t="s">
        <v>380</v>
      </c>
      <c r="B81" s="134" t="s">
        <v>23</v>
      </c>
      <c r="C81" s="134" t="s">
        <v>381</v>
      </c>
      <c r="D81" s="135">
        <v>270400</v>
      </c>
      <c r="E81" s="134" t="s">
        <v>388</v>
      </c>
      <c r="F81" s="134">
        <v>11</v>
      </c>
      <c r="G81" s="153" t="s">
        <v>490</v>
      </c>
      <c r="H81" s="134"/>
      <c r="I81" s="134">
        <v>10</v>
      </c>
      <c r="J81" s="136"/>
      <c r="K81" s="138">
        <f>VLOOKUP(F81,Plan2!$1:$1048576,8,FALSE)</f>
        <v>15.55</v>
      </c>
      <c r="L81" s="136">
        <v>42830</v>
      </c>
      <c r="M81" s="134" t="s">
        <v>401</v>
      </c>
      <c r="N81" s="134">
        <v>9</v>
      </c>
      <c r="O81" s="138">
        <f t="shared" si="1"/>
        <v>139.95000000000002</v>
      </c>
      <c r="P81" s="139">
        <v>42859</v>
      </c>
      <c r="Q81" s="140">
        <v>8214</v>
      </c>
      <c r="R81" s="168" t="s">
        <v>612</v>
      </c>
      <c r="S81" s="134">
        <v>35</v>
      </c>
      <c r="T81" s="134" t="s">
        <v>601</v>
      </c>
      <c r="U81" s="141"/>
    </row>
    <row r="82" spans="1:21" ht="46.5" customHeight="1" x14ac:dyDescent="0.25">
      <c r="A82" s="134" t="s">
        <v>380</v>
      </c>
      <c r="B82" s="134" t="s">
        <v>23</v>
      </c>
      <c r="C82" s="134" t="s">
        <v>381</v>
      </c>
      <c r="D82" s="135">
        <v>270400</v>
      </c>
      <c r="E82" s="134" t="s">
        <v>388</v>
      </c>
      <c r="F82" s="134">
        <v>12</v>
      </c>
      <c r="G82" s="153" t="s">
        <v>491</v>
      </c>
      <c r="H82" s="134"/>
      <c r="I82" s="134">
        <v>100</v>
      </c>
      <c r="J82" s="136"/>
      <c r="K82" s="138">
        <f>VLOOKUP(F82,Plan2!$1:$1048576,8,FALSE)</f>
        <v>11.98</v>
      </c>
      <c r="L82" s="136">
        <v>42830</v>
      </c>
      <c r="M82" s="134" t="s">
        <v>401</v>
      </c>
      <c r="N82" s="134">
        <v>1</v>
      </c>
      <c r="O82" s="138">
        <f t="shared" si="1"/>
        <v>11.98</v>
      </c>
      <c r="P82" s="139">
        <v>42859</v>
      </c>
      <c r="Q82" s="140">
        <v>8214</v>
      </c>
      <c r="R82" s="168" t="s">
        <v>612</v>
      </c>
      <c r="S82" s="134">
        <v>35</v>
      </c>
      <c r="T82" s="134" t="s">
        <v>601</v>
      </c>
      <c r="U82" s="141"/>
    </row>
    <row r="83" spans="1:21" ht="46.5" customHeight="1" x14ac:dyDescent="0.25">
      <c r="A83" s="134" t="s">
        <v>380</v>
      </c>
      <c r="B83" s="134" t="s">
        <v>23</v>
      </c>
      <c r="C83" s="134" t="s">
        <v>381</v>
      </c>
      <c r="D83" s="135">
        <v>270400</v>
      </c>
      <c r="E83" s="134" t="s">
        <v>388</v>
      </c>
      <c r="F83" s="134">
        <v>29</v>
      </c>
      <c r="G83" s="153" t="s">
        <v>492</v>
      </c>
      <c r="H83" s="134"/>
      <c r="I83" s="134">
        <v>200</v>
      </c>
      <c r="J83" s="136"/>
      <c r="K83" s="138">
        <f>VLOOKUP(F83,Plan2!$1:$1048576,8,FALSE)</f>
        <v>7</v>
      </c>
      <c r="L83" s="136">
        <v>42830</v>
      </c>
      <c r="M83" s="134" t="s">
        <v>401</v>
      </c>
      <c r="N83" s="134">
        <v>151</v>
      </c>
      <c r="O83" s="138">
        <f t="shared" si="1"/>
        <v>1057</v>
      </c>
      <c r="P83" s="139">
        <v>42859</v>
      </c>
      <c r="Q83" s="140">
        <v>8214</v>
      </c>
      <c r="R83" s="168" t="s">
        <v>612</v>
      </c>
      <c r="S83" s="134">
        <v>35</v>
      </c>
      <c r="T83" s="134" t="s">
        <v>601</v>
      </c>
      <c r="U83" s="141"/>
    </row>
    <row r="84" spans="1:21" ht="46.5" customHeight="1" x14ac:dyDescent="0.25">
      <c r="A84" s="134" t="s">
        <v>380</v>
      </c>
      <c r="B84" s="134" t="s">
        <v>23</v>
      </c>
      <c r="C84" s="134" t="s">
        <v>381</v>
      </c>
      <c r="D84" s="135">
        <v>270400</v>
      </c>
      <c r="E84" s="134" t="s">
        <v>388</v>
      </c>
      <c r="F84" s="134">
        <v>24</v>
      </c>
      <c r="G84" s="153" t="s">
        <v>493</v>
      </c>
      <c r="H84" s="134"/>
      <c r="I84" s="134">
        <v>100</v>
      </c>
      <c r="J84" s="136"/>
      <c r="K84" s="138">
        <f>VLOOKUP(F84,Plan2!$1:$1048576,8,FALSE)</f>
        <v>9.91</v>
      </c>
      <c r="L84" s="136">
        <v>42830</v>
      </c>
      <c r="M84" s="134" t="s">
        <v>392</v>
      </c>
      <c r="N84" s="134">
        <v>65</v>
      </c>
      <c r="O84" s="138">
        <f t="shared" si="1"/>
        <v>644.15</v>
      </c>
      <c r="P84" s="167">
        <v>42874</v>
      </c>
      <c r="Q84" s="168" t="s">
        <v>607</v>
      </c>
      <c r="R84" s="174">
        <v>339030</v>
      </c>
      <c r="S84" s="134">
        <v>35</v>
      </c>
      <c r="T84" s="134" t="s">
        <v>601</v>
      </c>
      <c r="U84" s="141"/>
    </row>
    <row r="85" spans="1:21" ht="46.5" customHeight="1" x14ac:dyDescent="0.25">
      <c r="A85" s="134" t="s">
        <v>380</v>
      </c>
      <c r="B85" s="134" t="s">
        <v>23</v>
      </c>
      <c r="C85" s="134" t="s">
        <v>381</v>
      </c>
      <c r="D85" s="135">
        <v>270400</v>
      </c>
      <c r="E85" s="134" t="s">
        <v>388</v>
      </c>
      <c r="F85" s="134">
        <v>37</v>
      </c>
      <c r="G85" s="153" t="s">
        <v>438</v>
      </c>
      <c r="H85" s="134"/>
      <c r="I85" s="134">
        <v>74</v>
      </c>
      <c r="J85" s="136"/>
      <c r="K85" s="138">
        <f>VLOOKUP(F85,Plan2!$1:$1048576,8,FALSE)</f>
        <v>6.88</v>
      </c>
      <c r="L85" s="136">
        <v>42830</v>
      </c>
      <c r="M85" s="134" t="s">
        <v>401</v>
      </c>
      <c r="N85" s="134">
        <v>21</v>
      </c>
      <c r="O85" s="138">
        <f t="shared" si="1"/>
        <v>144.47999999999999</v>
      </c>
      <c r="P85" s="139">
        <v>42859</v>
      </c>
      <c r="Q85" s="140">
        <v>8214</v>
      </c>
      <c r="R85" s="168" t="s">
        <v>612</v>
      </c>
      <c r="S85" s="134">
        <v>35</v>
      </c>
      <c r="T85" s="134" t="s">
        <v>601</v>
      </c>
      <c r="U85" s="141"/>
    </row>
    <row r="86" spans="1:21" ht="46.5" customHeight="1" x14ac:dyDescent="0.25">
      <c r="A86" s="134" t="s">
        <v>380</v>
      </c>
      <c r="B86" s="134" t="s">
        <v>23</v>
      </c>
      <c r="C86" s="134" t="s">
        <v>381</v>
      </c>
      <c r="D86" s="135">
        <v>270400</v>
      </c>
      <c r="E86" s="134" t="s">
        <v>388</v>
      </c>
      <c r="F86" s="134">
        <v>38</v>
      </c>
      <c r="G86" s="153" t="s">
        <v>439</v>
      </c>
      <c r="H86" s="134"/>
      <c r="I86" s="134">
        <v>20</v>
      </c>
      <c r="J86" s="136"/>
      <c r="K86" s="138">
        <f>VLOOKUP(F86,Plan2!$1:$1048576,8,FALSE)</f>
        <v>14.88</v>
      </c>
      <c r="L86" s="136">
        <v>41734</v>
      </c>
      <c r="M86" s="134" t="s">
        <v>401</v>
      </c>
      <c r="N86" s="134">
        <v>20</v>
      </c>
      <c r="O86" s="138">
        <f t="shared" si="1"/>
        <v>297.60000000000002</v>
      </c>
      <c r="P86" s="139">
        <v>42859</v>
      </c>
      <c r="Q86" s="140">
        <v>8214</v>
      </c>
      <c r="R86" s="168" t="s">
        <v>612</v>
      </c>
      <c r="S86" s="134">
        <v>35</v>
      </c>
      <c r="T86" s="134" t="s">
        <v>601</v>
      </c>
      <c r="U86" s="141"/>
    </row>
    <row r="87" spans="1:21" ht="46.5" customHeight="1" x14ac:dyDescent="0.25">
      <c r="A87" s="134" t="s">
        <v>380</v>
      </c>
      <c r="B87" s="134" t="s">
        <v>23</v>
      </c>
      <c r="C87" s="134" t="s">
        <v>381</v>
      </c>
      <c r="D87" s="135">
        <v>270400</v>
      </c>
      <c r="E87" s="134" t="s">
        <v>388</v>
      </c>
      <c r="F87" s="134">
        <v>40</v>
      </c>
      <c r="G87" s="153" t="s">
        <v>494</v>
      </c>
      <c r="H87" s="134"/>
      <c r="I87" s="134">
        <v>70</v>
      </c>
      <c r="J87" s="136"/>
      <c r="K87" s="138">
        <f>VLOOKUP(F87,Plan2!$1:$1048576,8,FALSE)</f>
        <v>5.07</v>
      </c>
      <c r="L87" s="136">
        <v>41734</v>
      </c>
      <c r="M87" s="134" t="s">
        <v>401</v>
      </c>
      <c r="N87" s="134">
        <v>57</v>
      </c>
      <c r="O87" s="138">
        <f t="shared" si="1"/>
        <v>288.99</v>
      </c>
      <c r="P87" s="139">
        <v>42859</v>
      </c>
      <c r="Q87" s="140">
        <v>8214</v>
      </c>
      <c r="R87" s="168" t="s">
        <v>612</v>
      </c>
      <c r="S87" s="134">
        <v>35</v>
      </c>
      <c r="T87" s="134" t="s">
        <v>601</v>
      </c>
      <c r="U87" s="141"/>
    </row>
    <row r="88" spans="1:21" ht="46.5" customHeight="1" x14ac:dyDescent="0.25">
      <c r="A88" s="134" t="s">
        <v>380</v>
      </c>
      <c r="B88" s="134" t="s">
        <v>23</v>
      </c>
      <c r="C88" s="134" t="s">
        <v>381</v>
      </c>
      <c r="D88" s="135">
        <v>270400</v>
      </c>
      <c r="E88" s="134" t="s">
        <v>388</v>
      </c>
      <c r="F88" s="134">
        <v>43</v>
      </c>
      <c r="G88" s="153" t="s">
        <v>440</v>
      </c>
      <c r="H88" s="134"/>
      <c r="I88" s="134">
        <v>8</v>
      </c>
      <c r="J88" s="136"/>
      <c r="K88" s="138">
        <f>VLOOKUP(F88,Plan2!$1:$1048576,8,FALSE)</f>
        <v>178</v>
      </c>
      <c r="L88" s="136">
        <v>42830</v>
      </c>
      <c r="M88" s="134" t="s">
        <v>394</v>
      </c>
      <c r="N88" s="134">
        <v>1</v>
      </c>
      <c r="O88" s="138">
        <f t="shared" si="1"/>
        <v>178</v>
      </c>
      <c r="P88" s="169">
        <v>42894</v>
      </c>
      <c r="Q88" s="168" t="s">
        <v>602</v>
      </c>
      <c r="R88" s="134">
        <v>339030</v>
      </c>
      <c r="S88" s="134">
        <v>35</v>
      </c>
      <c r="T88" s="134" t="s">
        <v>609</v>
      </c>
      <c r="U88" s="141"/>
    </row>
    <row r="89" spans="1:21" ht="46.5" customHeight="1" x14ac:dyDescent="0.25">
      <c r="A89" s="134" t="s">
        <v>380</v>
      </c>
      <c r="B89" s="134" t="s">
        <v>23</v>
      </c>
      <c r="C89" s="134" t="s">
        <v>381</v>
      </c>
      <c r="D89" s="135">
        <v>270400</v>
      </c>
      <c r="E89" s="134" t="s">
        <v>388</v>
      </c>
      <c r="F89" s="134">
        <v>47</v>
      </c>
      <c r="G89" s="153" t="s">
        <v>441</v>
      </c>
      <c r="H89" s="134"/>
      <c r="I89" s="134">
        <v>124</v>
      </c>
      <c r="J89" s="136"/>
      <c r="K89" s="138">
        <f>VLOOKUP(F89,Plan2!$1:$1048576,8,FALSE)</f>
        <v>1.98</v>
      </c>
      <c r="L89" s="136">
        <v>42830</v>
      </c>
      <c r="M89" s="134" t="s">
        <v>395</v>
      </c>
      <c r="N89" s="134">
        <v>109</v>
      </c>
      <c r="O89" s="138">
        <f t="shared" si="1"/>
        <v>215.82</v>
      </c>
      <c r="P89" s="167">
        <v>42872</v>
      </c>
      <c r="Q89" s="173" t="s">
        <v>610</v>
      </c>
      <c r="R89" s="134">
        <v>339030</v>
      </c>
      <c r="S89" s="134">
        <v>35</v>
      </c>
      <c r="T89" s="134" t="s">
        <v>609</v>
      </c>
      <c r="U89" s="141"/>
    </row>
    <row r="90" spans="1:21" ht="46.5" customHeight="1" x14ac:dyDescent="0.25">
      <c r="A90" s="134" t="s">
        <v>380</v>
      </c>
      <c r="B90" s="134" t="s">
        <v>23</v>
      </c>
      <c r="C90" s="134" t="s">
        <v>381</v>
      </c>
      <c r="D90" s="135">
        <v>270400</v>
      </c>
      <c r="E90" s="134" t="s">
        <v>388</v>
      </c>
      <c r="F90" s="134">
        <v>64</v>
      </c>
      <c r="G90" s="153" t="s">
        <v>495</v>
      </c>
      <c r="H90" s="134"/>
      <c r="I90" s="134">
        <v>1</v>
      </c>
      <c r="J90" s="136"/>
      <c r="K90" s="138">
        <f>VLOOKUP(F90,Plan2!$1:$1048576,8,FALSE)</f>
        <v>319</v>
      </c>
      <c r="L90" s="136">
        <v>42830</v>
      </c>
      <c r="M90" s="134" t="s">
        <v>402</v>
      </c>
      <c r="N90" s="134">
        <v>1</v>
      </c>
      <c r="O90" s="138">
        <f t="shared" si="1"/>
        <v>319</v>
      </c>
      <c r="P90" s="139">
        <v>42859</v>
      </c>
      <c r="Q90" s="168" t="s">
        <v>612</v>
      </c>
      <c r="R90" s="134">
        <v>339030</v>
      </c>
      <c r="S90" s="134">
        <v>35</v>
      </c>
      <c r="T90" s="134" t="s">
        <v>601</v>
      </c>
      <c r="U90" s="141"/>
    </row>
    <row r="91" spans="1:21" ht="46.5" customHeight="1" x14ac:dyDescent="0.25">
      <c r="A91" s="134" t="s">
        <v>380</v>
      </c>
      <c r="B91" s="134" t="s">
        <v>23</v>
      </c>
      <c r="C91" s="134" t="s">
        <v>381</v>
      </c>
      <c r="D91" s="135">
        <v>270400</v>
      </c>
      <c r="E91" s="134" t="s">
        <v>388</v>
      </c>
      <c r="F91" s="134">
        <v>62</v>
      </c>
      <c r="G91" s="153" t="s">
        <v>496</v>
      </c>
      <c r="H91" s="134"/>
      <c r="I91" s="134">
        <v>20</v>
      </c>
      <c r="J91" s="136"/>
      <c r="K91" s="138">
        <f>VLOOKUP(F91,Plan2!$1:$1048576,8,FALSE)</f>
        <v>32</v>
      </c>
      <c r="L91" s="136">
        <v>42830</v>
      </c>
      <c r="M91" s="134" t="s">
        <v>395</v>
      </c>
      <c r="N91" s="134">
        <v>20</v>
      </c>
      <c r="O91" s="138">
        <f t="shared" si="1"/>
        <v>640</v>
      </c>
      <c r="P91" s="167">
        <v>42872</v>
      </c>
      <c r="Q91" s="173" t="s">
        <v>610</v>
      </c>
      <c r="R91" s="134">
        <v>339030</v>
      </c>
      <c r="S91" s="134">
        <v>35</v>
      </c>
      <c r="T91" s="134" t="s">
        <v>601</v>
      </c>
      <c r="U91" s="141"/>
    </row>
    <row r="92" spans="1:21" ht="46.5" customHeight="1" x14ac:dyDescent="0.25">
      <c r="A92" s="134" t="s">
        <v>380</v>
      </c>
      <c r="B92" s="134" t="s">
        <v>23</v>
      </c>
      <c r="C92" s="134" t="s">
        <v>381</v>
      </c>
      <c r="D92" s="135">
        <v>270400</v>
      </c>
      <c r="E92" s="134" t="s">
        <v>388</v>
      </c>
      <c r="F92" s="134">
        <v>66</v>
      </c>
      <c r="G92" s="153" t="s">
        <v>497</v>
      </c>
      <c r="H92" s="134"/>
      <c r="I92" s="134">
        <v>100</v>
      </c>
      <c r="J92" s="136"/>
      <c r="K92" s="138">
        <f>VLOOKUP(F92,Plan2!$1:$1048576,8,FALSE)</f>
        <v>24.88</v>
      </c>
      <c r="L92" s="136">
        <v>42830</v>
      </c>
      <c r="M92" s="134" t="s">
        <v>402</v>
      </c>
      <c r="N92" s="134">
        <v>6</v>
      </c>
      <c r="O92" s="138">
        <f t="shared" si="1"/>
        <v>149.28</v>
      </c>
      <c r="P92" s="139">
        <v>42859</v>
      </c>
      <c r="Q92" s="168" t="s">
        <v>612</v>
      </c>
      <c r="R92" s="134">
        <v>339030</v>
      </c>
      <c r="S92" s="134">
        <v>35</v>
      </c>
      <c r="T92" s="134" t="s">
        <v>601</v>
      </c>
      <c r="U92" s="141"/>
    </row>
    <row r="93" spans="1:21" ht="46.5" customHeight="1" x14ac:dyDescent="0.25">
      <c r="A93" s="134" t="s">
        <v>380</v>
      </c>
      <c r="B93" s="134" t="s">
        <v>23</v>
      </c>
      <c r="C93" s="134" t="s">
        <v>381</v>
      </c>
      <c r="D93" s="135">
        <v>270400</v>
      </c>
      <c r="E93" s="134" t="s">
        <v>388</v>
      </c>
      <c r="F93" s="134">
        <v>80</v>
      </c>
      <c r="G93" s="153" t="s">
        <v>498</v>
      </c>
      <c r="H93" s="134"/>
      <c r="I93" s="134">
        <v>5</v>
      </c>
      <c r="J93" s="136"/>
      <c r="K93" s="138">
        <f>VLOOKUP(F93,Plan2!$1:$1048576,8,FALSE)</f>
        <v>10.96</v>
      </c>
      <c r="L93" s="136">
        <v>42830</v>
      </c>
      <c r="M93" s="134" t="s">
        <v>402</v>
      </c>
      <c r="N93" s="134">
        <v>4</v>
      </c>
      <c r="O93" s="138">
        <f t="shared" si="1"/>
        <v>43.84</v>
      </c>
      <c r="P93" s="139">
        <v>42859</v>
      </c>
      <c r="Q93" s="168" t="s">
        <v>612</v>
      </c>
      <c r="R93" s="134">
        <v>339030</v>
      </c>
      <c r="S93" s="134">
        <v>35</v>
      </c>
      <c r="T93" s="134" t="s">
        <v>601</v>
      </c>
      <c r="U93" s="141"/>
    </row>
    <row r="94" spans="1:21" ht="46.5" customHeight="1" x14ac:dyDescent="0.25">
      <c r="A94" s="134" t="s">
        <v>380</v>
      </c>
      <c r="B94" s="134" t="s">
        <v>23</v>
      </c>
      <c r="C94" s="134" t="s">
        <v>381</v>
      </c>
      <c r="D94" s="135">
        <v>270400</v>
      </c>
      <c r="E94" s="134" t="s">
        <v>388</v>
      </c>
      <c r="F94" s="134">
        <v>86</v>
      </c>
      <c r="G94" s="153" t="s">
        <v>480</v>
      </c>
      <c r="H94" s="134"/>
      <c r="I94" s="134">
        <v>12</v>
      </c>
      <c r="J94" s="136"/>
      <c r="K94" s="134">
        <f>VLOOKUP(F94,Plan2!$1:$1048576,8,FALSE)</f>
        <v>9</v>
      </c>
      <c r="L94" s="136">
        <v>42830</v>
      </c>
      <c r="M94" s="134" t="s">
        <v>402</v>
      </c>
      <c r="N94" s="134">
        <v>12</v>
      </c>
      <c r="O94" s="138">
        <f t="shared" si="1"/>
        <v>108</v>
      </c>
      <c r="P94" s="139">
        <v>42859</v>
      </c>
      <c r="Q94" s="168" t="s">
        <v>612</v>
      </c>
      <c r="R94" s="134">
        <v>339030</v>
      </c>
      <c r="S94" s="134">
        <v>35</v>
      </c>
      <c r="T94" s="134" t="s">
        <v>601</v>
      </c>
      <c r="U94" s="141"/>
    </row>
    <row r="95" spans="1:21" ht="46.5" customHeight="1" x14ac:dyDescent="0.25">
      <c r="A95" s="134" t="s">
        <v>380</v>
      </c>
      <c r="B95" s="134" t="s">
        <v>23</v>
      </c>
      <c r="C95" s="134" t="s">
        <v>381</v>
      </c>
      <c r="D95" s="135">
        <v>270400</v>
      </c>
      <c r="E95" s="134" t="s">
        <v>388</v>
      </c>
      <c r="F95" s="134">
        <v>89</v>
      </c>
      <c r="G95" s="153" t="s">
        <v>462</v>
      </c>
      <c r="H95" s="134"/>
      <c r="I95" s="134">
        <v>12</v>
      </c>
      <c r="J95" s="136"/>
      <c r="K95" s="134">
        <f>VLOOKUP(F95,Plan2!$1:$1048576,8,FALSE)</f>
        <v>9.9</v>
      </c>
      <c r="L95" s="136">
        <v>42830</v>
      </c>
      <c r="M95" s="134" t="s">
        <v>402</v>
      </c>
      <c r="N95" s="134">
        <v>12</v>
      </c>
      <c r="O95" s="138">
        <f t="shared" si="1"/>
        <v>118.80000000000001</v>
      </c>
      <c r="P95" s="139">
        <v>42859</v>
      </c>
      <c r="Q95" s="168" t="s">
        <v>612</v>
      </c>
      <c r="R95" s="134">
        <v>339030</v>
      </c>
      <c r="S95" s="134">
        <v>35</v>
      </c>
      <c r="T95" s="134" t="s">
        <v>601</v>
      </c>
      <c r="U95" s="141"/>
    </row>
    <row r="96" spans="1:21" ht="46.5" customHeight="1" x14ac:dyDescent="0.25">
      <c r="A96" s="134" t="s">
        <v>380</v>
      </c>
      <c r="B96" s="134" t="s">
        <v>23</v>
      </c>
      <c r="C96" s="134" t="s">
        <v>381</v>
      </c>
      <c r="D96" s="135">
        <v>270400</v>
      </c>
      <c r="E96" s="134" t="s">
        <v>388</v>
      </c>
      <c r="F96" s="134">
        <v>109</v>
      </c>
      <c r="G96" s="153" t="s">
        <v>463</v>
      </c>
      <c r="H96" s="134"/>
      <c r="I96" s="134">
        <v>4</v>
      </c>
      <c r="J96" s="136"/>
      <c r="K96" s="134">
        <f>VLOOKUP(F96,Plan2!$1:$1048576,8,FALSE)</f>
        <v>39</v>
      </c>
      <c r="L96" s="136">
        <v>42830</v>
      </c>
      <c r="M96" s="134" t="s">
        <v>402</v>
      </c>
      <c r="N96" s="134">
        <v>4</v>
      </c>
      <c r="O96" s="138">
        <f t="shared" si="1"/>
        <v>156</v>
      </c>
      <c r="P96" s="139">
        <v>42859</v>
      </c>
      <c r="Q96" s="168" t="s">
        <v>612</v>
      </c>
      <c r="R96" s="134">
        <v>339030</v>
      </c>
      <c r="S96" s="134">
        <v>35</v>
      </c>
      <c r="T96" s="134" t="s">
        <v>601</v>
      </c>
      <c r="U96" s="141"/>
    </row>
    <row r="97" spans="1:21" ht="46.5" customHeight="1" x14ac:dyDescent="0.25">
      <c r="A97" s="134" t="s">
        <v>380</v>
      </c>
      <c r="B97" s="134" t="s">
        <v>23</v>
      </c>
      <c r="C97" s="134" t="s">
        <v>381</v>
      </c>
      <c r="D97" s="135">
        <v>270400</v>
      </c>
      <c r="E97" s="134" t="s">
        <v>388</v>
      </c>
      <c r="F97" s="134">
        <v>105</v>
      </c>
      <c r="G97" s="153" t="s">
        <v>499</v>
      </c>
      <c r="H97" s="134"/>
      <c r="I97" s="134">
        <v>20</v>
      </c>
      <c r="J97" s="136"/>
      <c r="K97" s="138">
        <f>VLOOKUP(F97,Plan2!$1:$1048576,8,FALSE)</f>
        <v>7.19</v>
      </c>
      <c r="L97" s="136">
        <v>42830</v>
      </c>
      <c r="M97" s="134" t="s">
        <v>393</v>
      </c>
      <c r="N97" s="134">
        <v>20</v>
      </c>
      <c r="O97" s="138">
        <f t="shared" si="1"/>
        <v>143.80000000000001</v>
      </c>
      <c r="P97" s="167">
        <v>42920</v>
      </c>
      <c r="Q97" s="173" t="s">
        <v>608</v>
      </c>
      <c r="R97" s="174">
        <v>339030</v>
      </c>
      <c r="S97" s="134">
        <v>35</v>
      </c>
      <c r="T97" s="134" t="s">
        <v>601</v>
      </c>
      <c r="U97" s="141"/>
    </row>
    <row r="98" spans="1:21" ht="46.5" customHeight="1" x14ac:dyDescent="0.25">
      <c r="A98" s="134" t="s">
        <v>380</v>
      </c>
      <c r="B98" s="134" t="s">
        <v>23</v>
      </c>
      <c r="C98" s="134" t="s">
        <v>381</v>
      </c>
      <c r="D98" s="135">
        <v>270400</v>
      </c>
      <c r="E98" s="134" t="s">
        <v>388</v>
      </c>
      <c r="F98" s="134">
        <v>52</v>
      </c>
      <c r="G98" s="153" t="s">
        <v>481</v>
      </c>
      <c r="H98" s="134"/>
      <c r="I98" s="134">
        <v>50</v>
      </c>
      <c r="J98" s="136"/>
      <c r="K98" s="134">
        <f>VLOOKUP(F98,Plan2!$1:$1048576,8,FALSE)</f>
        <v>9.3000000000000007</v>
      </c>
      <c r="L98" s="136">
        <v>42830</v>
      </c>
      <c r="M98" s="134" t="s">
        <v>401</v>
      </c>
      <c r="N98" s="134">
        <v>50</v>
      </c>
      <c r="O98" s="138">
        <f t="shared" si="1"/>
        <v>465.00000000000006</v>
      </c>
      <c r="P98" s="139">
        <v>42859</v>
      </c>
      <c r="Q98" s="140">
        <v>8214</v>
      </c>
      <c r="R98" s="168" t="s">
        <v>612</v>
      </c>
      <c r="S98" s="134">
        <v>35</v>
      </c>
      <c r="T98" s="134" t="s">
        <v>601</v>
      </c>
      <c r="U98" s="141"/>
    </row>
    <row r="99" spans="1:21" ht="46.5" customHeight="1" x14ac:dyDescent="0.25">
      <c r="A99" s="134" t="s">
        <v>380</v>
      </c>
      <c r="B99" s="134" t="s">
        <v>23</v>
      </c>
      <c r="C99" s="134" t="s">
        <v>381</v>
      </c>
      <c r="D99" s="135">
        <v>270400</v>
      </c>
      <c r="E99" s="134" t="s">
        <v>388</v>
      </c>
      <c r="F99" s="134">
        <v>54</v>
      </c>
      <c r="G99" s="153" t="s">
        <v>444</v>
      </c>
      <c r="H99" s="134"/>
      <c r="I99" s="134">
        <v>140</v>
      </c>
      <c r="J99" s="136"/>
      <c r="K99" s="134">
        <f>VLOOKUP(F99,Plan2!$1:$1048576,8,FALSE)</f>
        <v>3.99</v>
      </c>
      <c r="L99" s="136">
        <v>42830</v>
      </c>
      <c r="M99" s="134" t="s">
        <v>401</v>
      </c>
      <c r="N99" s="134">
        <v>132</v>
      </c>
      <c r="O99" s="138">
        <f t="shared" si="1"/>
        <v>526.68000000000006</v>
      </c>
      <c r="P99" s="139">
        <v>42859</v>
      </c>
      <c r="Q99" s="140">
        <v>8214</v>
      </c>
      <c r="R99" s="168" t="s">
        <v>612</v>
      </c>
      <c r="S99" s="134">
        <v>35</v>
      </c>
      <c r="T99" s="134" t="s">
        <v>601</v>
      </c>
      <c r="U99" s="141"/>
    </row>
    <row r="100" spans="1:21" ht="46.5" customHeight="1" x14ac:dyDescent="0.25">
      <c r="A100" s="134" t="s">
        <v>380</v>
      </c>
      <c r="B100" s="134" t="s">
        <v>23</v>
      </c>
      <c r="C100" s="134" t="s">
        <v>381</v>
      </c>
      <c r="D100" s="135">
        <v>270400</v>
      </c>
      <c r="E100" s="134" t="s">
        <v>388</v>
      </c>
      <c r="F100" s="134">
        <v>95</v>
      </c>
      <c r="G100" s="153" t="s">
        <v>482</v>
      </c>
      <c r="H100" s="134"/>
      <c r="I100" s="134">
        <v>12</v>
      </c>
      <c r="J100" s="136"/>
      <c r="K100" s="134">
        <f>VLOOKUP(F100,Plan2!$1:$1048576,8,FALSE)</f>
        <v>3.23</v>
      </c>
      <c r="L100" s="136">
        <v>42830</v>
      </c>
      <c r="M100" s="134" t="s">
        <v>402</v>
      </c>
      <c r="N100" s="134">
        <v>12</v>
      </c>
      <c r="O100" s="138">
        <f t="shared" si="1"/>
        <v>38.76</v>
      </c>
      <c r="P100" s="139">
        <v>42859</v>
      </c>
      <c r="Q100" s="168" t="s">
        <v>612</v>
      </c>
      <c r="R100" s="174">
        <v>339030</v>
      </c>
      <c r="S100" s="134">
        <v>35</v>
      </c>
      <c r="T100" s="134" t="s">
        <v>601</v>
      </c>
      <c r="U100" s="141"/>
    </row>
    <row r="101" spans="1:21" ht="46.5" customHeight="1" x14ac:dyDescent="0.25">
      <c r="A101" s="134" t="s">
        <v>380</v>
      </c>
      <c r="B101" s="134" t="s">
        <v>23</v>
      </c>
      <c r="C101" s="134" t="s">
        <v>381</v>
      </c>
      <c r="D101" s="135">
        <v>270400</v>
      </c>
      <c r="E101" s="134" t="s">
        <v>388</v>
      </c>
      <c r="F101" s="134">
        <v>56</v>
      </c>
      <c r="G101" s="153" t="s">
        <v>445</v>
      </c>
      <c r="H101" s="134"/>
      <c r="I101" s="134">
        <v>96</v>
      </c>
      <c r="J101" s="136"/>
      <c r="K101" s="134">
        <f>VLOOKUP(F101,Plan2!$1:$1048576,8,FALSE)</f>
        <v>7.2</v>
      </c>
      <c r="L101" s="136">
        <v>42830</v>
      </c>
      <c r="M101" s="134" t="s">
        <v>401</v>
      </c>
      <c r="N101" s="134">
        <v>95</v>
      </c>
      <c r="O101" s="138">
        <f t="shared" si="1"/>
        <v>684</v>
      </c>
      <c r="P101" s="139">
        <v>42859</v>
      </c>
      <c r="Q101" s="140">
        <v>8214</v>
      </c>
      <c r="R101" s="168" t="s">
        <v>612</v>
      </c>
      <c r="S101" s="134">
        <v>35</v>
      </c>
      <c r="T101" s="134" t="s">
        <v>601</v>
      </c>
      <c r="U101" s="141"/>
    </row>
    <row r="102" spans="1:21" ht="46.5" customHeight="1" x14ac:dyDescent="0.25">
      <c r="A102" s="134" t="s">
        <v>380</v>
      </c>
      <c r="B102" s="134" t="s">
        <v>23</v>
      </c>
      <c r="C102" s="134" t="s">
        <v>381</v>
      </c>
      <c r="D102" s="135">
        <v>270400</v>
      </c>
      <c r="E102" s="134" t="s">
        <v>388</v>
      </c>
      <c r="F102" s="134">
        <v>97</v>
      </c>
      <c r="G102" s="153" t="s">
        <v>464</v>
      </c>
      <c r="H102" s="134"/>
      <c r="I102" s="134">
        <v>12</v>
      </c>
      <c r="J102" s="136"/>
      <c r="K102" s="134">
        <f>VLOOKUP(F102,Plan2!$1:$1048576,8,FALSE)</f>
        <v>4.66</v>
      </c>
      <c r="L102" s="136">
        <v>42830</v>
      </c>
      <c r="M102" s="134" t="s">
        <v>402</v>
      </c>
      <c r="N102" s="134">
        <v>12</v>
      </c>
      <c r="O102" s="138">
        <f t="shared" si="1"/>
        <v>55.92</v>
      </c>
      <c r="P102" s="139">
        <v>42859</v>
      </c>
      <c r="Q102" s="168" t="s">
        <v>612</v>
      </c>
      <c r="R102" s="134">
        <v>339030</v>
      </c>
      <c r="S102" s="134">
        <v>35</v>
      </c>
      <c r="T102" s="134" t="s">
        <v>601</v>
      </c>
      <c r="U102" s="141"/>
    </row>
    <row r="103" spans="1:21" ht="46.5" customHeight="1" x14ac:dyDescent="0.25">
      <c r="A103" s="134" t="s">
        <v>380</v>
      </c>
      <c r="B103" s="134" t="s">
        <v>23</v>
      </c>
      <c r="C103" s="134" t="s">
        <v>381</v>
      </c>
      <c r="D103" s="135">
        <v>270400</v>
      </c>
      <c r="E103" s="134" t="s">
        <v>388</v>
      </c>
      <c r="F103" s="134">
        <v>98</v>
      </c>
      <c r="G103" s="153" t="s">
        <v>446</v>
      </c>
      <c r="H103" s="134"/>
      <c r="I103" s="134">
        <v>16</v>
      </c>
      <c r="J103" s="136"/>
      <c r="K103" s="134">
        <f>VLOOKUP(F103,Plan2!$1:$1048576,8,FALSE)</f>
        <v>4.87</v>
      </c>
      <c r="L103" s="136">
        <v>42830</v>
      </c>
      <c r="M103" s="134" t="s">
        <v>402</v>
      </c>
      <c r="N103" s="134">
        <v>16</v>
      </c>
      <c r="O103" s="138">
        <f t="shared" si="1"/>
        <v>77.92</v>
      </c>
      <c r="P103" s="139">
        <v>42859</v>
      </c>
      <c r="Q103" s="168" t="s">
        <v>612</v>
      </c>
      <c r="R103" s="134">
        <v>339030</v>
      </c>
      <c r="S103" s="134">
        <v>35</v>
      </c>
      <c r="T103" s="134" t="s">
        <v>601</v>
      </c>
      <c r="U103" s="141"/>
    </row>
    <row r="104" spans="1:21" ht="46.5" customHeight="1" x14ac:dyDescent="0.25">
      <c r="A104" s="134" t="s">
        <v>380</v>
      </c>
      <c r="B104" s="134" t="s">
        <v>23</v>
      </c>
      <c r="C104" s="134" t="s">
        <v>381</v>
      </c>
      <c r="D104" s="135">
        <v>270400</v>
      </c>
      <c r="E104" s="134" t="s">
        <v>388</v>
      </c>
      <c r="F104" s="134">
        <v>103</v>
      </c>
      <c r="G104" s="153" t="s">
        <v>484</v>
      </c>
      <c r="H104" s="134"/>
      <c r="I104" s="134">
        <v>82</v>
      </c>
      <c r="J104" s="136"/>
      <c r="K104" s="134">
        <f>VLOOKUP(F104,Plan2!$1:$1048576,8,FALSE)</f>
        <v>4.12</v>
      </c>
      <c r="L104" s="136">
        <v>42830</v>
      </c>
      <c r="M104" s="134" t="s">
        <v>402</v>
      </c>
      <c r="N104" s="134">
        <v>74</v>
      </c>
      <c r="O104" s="138">
        <f t="shared" si="1"/>
        <v>304.88</v>
      </c>
      <c r="P104" s="139">
        <v>42859</v>
      </c>
      <c r="Q104" s="168" t="s">
        <v>612</v>
      </c>
      <c r="R104" s="134">
        <v>339030</v>
      </c>
      <c r="S104" s="134">
        <v>35</v>
      </c>
      <c r="T104" s="134" t="s">
        <v>601</v>
      </c>
      <c r="U104" s="141"/>
    </row>
    <row r="105" spans="1:21" ht="46.5" customHeight="1" x14ac:dyDescent="0.25">
      <c r="A105" s="134" t="s">
        <v>380</v>
      </c>
      <c r="B105" s="134" t="s">
        <v>23</v>
      </c>
      <c r="C105" s="134" t="s">
        <v>381</v>
      </c>
      <c r="D105" s="135">
        <v>270400</v>
      </c>
      <c r="E105" s="134" t="s">
        <v>388</v>
      </c>
      <c r="F105" s="134">
        <v>106</v>
      </c>
      <c r="G105" s="153" t="s">
        <v>500</v>
      </c>
      <c r="H105" s="134"/>
      <c r="I105" s="134">
        <v>100</v>
      </c>
      <c r="J105" s="136"/>
      <c r="K105" s="134">
        <f>VLOOKUP(F105,Plan2!$1:$1048576,8,FALSE)</f>
        <v>7.5</v>
      </c>
      <c r="L105" s="136">
        <v>42830</v>
      </c>
      <c r="M105" s="134" t="s">
        <v>402</v>
      </c>
      <c r="N105" s="134">
        <v>54</v>
      </c>
      <c r="O105" s="138">
        <f t="shared" si="1"/>
        <v>405</v>
      </c>
      <c r="P105" s="139">
        <v>42859</v>
      </c>
      <c r="Q105" s="168" t="s">
        <v>612</v>
      </c>
      <c r="R105" s="134">
        <v>339030</v>
      </c>
      <c r="S105" s="134">
        <v>35</v>
      </c>
      <c r="T105" s="134" t="s">
        <v>601</v>
      </c>
      <c r="U105" s="141"/>
    </row>
    <row r="106" spans="1:21" ht="46.5" customHeight="1" x14ac:dyDescent="0.25">
      <c r="A106" s="134" t="s">
        <v>380</v>
      </c>
      <c r="B106" s="134" t="s">
        <v>23</v>
      </c>
      <c r="C106" s="134" t="s">
        <v>381</v>
      </c>
      <c r="D106" s="135">
        <v>270400</v>
      </c>
      <c r="E106" s="134" t="s">
        <v>388</v>
      </c>
      <c r="F106" s="134">
        <v>104</v>
      </c>
      <c r="G106" s="153" t="s">
        <v>447</v>
      </c>
      <c r="H106" s="134"/>
      <c r="I106" s="134">
        <v>173</v>
      </c>
      <c r="J106" s="136"/>
      <c r="K106" s="134">
        <f>VLOOKUP(F106,Plan2!$1:$1048576,8,FALSE)</f>
        <v>2.15</v>
      </c>
      <c r="L106" s="136">
        <v>42830</v>
      </c>
      <c r="M106" s="134" t="s">
        <v>402</v>
      </c>
      <c r="N106" s="134">
        <v>32</v>
      </c>
      <c r="O106" s="138">
        <f t="shared" si="1"/>
        <v>68.8</v>
      </c>
      <c r="P106" s="139">
        <v>42859</v>
      </c>
      <c r="Q106" s="168" t="s">
        <v>612</v>
      </c>
      <c r="R106" s="134">
        <v>339030</v>
      </c>
      <c r="S106" s="134">
        <v>35</v>
      </c>
      <c r="T106" s="134" t="s">
        <v>601</v>
      </c>
      <c r="U106" s="141"/>
    </row>
    <row r="107" spans="1:21" ht="46.5" customHeight="1" x14ac:dyDescent="0.25">
      <c r="A107" s="134" t="s">
        <v>380</v>
      </c>
      <c r="B107" s="134" t="s">
        <v>23</v>
      </c>
      <c r="C107" s="134" t="s">
        <v>381</v>
      </c>
      <c r="D107" s="135">
        <v>270400</v>
      </c>
      <c r="E107" s="134" t="s">
        <v>388</v>
      </c>
      <c r="F107" s="134">
        <v>100</v>
      </c>
      <c r="G107" s="153" t="s">
        <v>448</v>
      </c>
      <c r="H107" s="134"/>
      <c r="I107" s="134">
        <v>128</v>
      </c>
      <c r="J107" s="136"/>
      <c r="K107" s="134">
        <f>VLOOKUP(F107,Plan2!$1:$1048576,8,FALSE)</f>
        <v>3.52</v>
      </c>
      <c r="L107" s="136">
        <v>42830</v>
      </c>
      <c r="M107" s="134" t="s">
        <v>395</v>
      </c>
      <c r="N107" s="134">
        <v>82</v>
      </c>
      <c r="O107" s="138">
        <f t="shared" si="1"/>
        <v>288.64</v>
      </c>
      <c r="P107" s="167">
        <v>42872</v>
      </c>
      <c r="Q107" s="173" t="s">
        <v>610</v>
      </c>
      <c r="R107" s="134">
        <v>339030</v>
      </c>
      <c r="S107" s="134">
        <v>35</v>
      </c>
      <c r="T107" s="134" t="s">
        <v>609</v>
      </c>
      <c r="U107" s="141"/>
    </row>
    <row r="108" spans="1:21" ht="46.5" customHeight="1" x14ac:dyDescent="0.25">
      <c r="A108" s="134" t="s">
        <v>380</v>
      </c>
      <c r="B108" s="134" t="s">
        <v>23</v>
      </c>
      <c r="C108" s="134" t="s">
        <v>381</v>
      </c>
      <c r="D108" s="135">
        <v>270400</v>
      </c>
      <c r="E108" s="134" t="s">
        <v>388</v>
      </c>
      <c r="F108" s="134">
        <v>107</v>
      </c>
      <c r="G108" s="153" t="s">
        <v>501</v>
      </c>
      <c r="H108" s="134"/>
      <c r="I108" s="134">
        <v>8</v>
      </c>
      <c r="J108" s="136"/>
      <c r="K108" s="134">
        <f>VLOOKUP(F108,Plan2!$1:$1048576,8,FALSE)</f>
        <v>4.9000000000000004</v>
      </c>
      <c r="L108" s="136">
        <v>42830</v>
      </c>
      <c r="M108" s="134" t="s">
        <v>402</v>
      </c>
      <c r="N108" s="134">
        <v>8</v>
      </c>
      <c r="O108" s="138">
        <f t="shared" si="1"/>
        <v>39.200000000000003</v>
      </c>
      <c r="P108" s="139">
        <v>42859</v>
      </c>
      <c r="Q108" s="168" t="s">
        <v>612</v>
      </c>
      <c r="R108" s="134">
        <v>339030</v>
      </c>
      <c r="S108" s="134">
        <v>35</v>
      </c>
      <c r="T108" s="134" t="s">
        <v>601</v>
      </c>
      <c r="U108" s="141"/>
    </row>
    <row r="109" spans="1:21" ht="46.5" customHeight="1" x14ac:dyDescent="0.25">
      <c r="A109" s="134" t="s">
        <v>380</v>
      </c>
      <c r="B109" s="134" t="s">
        <v>23</v>
      </c>
      <c r="C109" s="134" t="s">
        <v>381</v>
      </c>
      <c r="D109" s="135">
        <v>270400</v>
      </c>
      <c r="E109" s="134" t="s">
        <v>388</v>
      </c>
      <c r="F109" s="134">
        <v>90</v>
      </c>
      <c r="G109" s="153" t="s">
        <v>502</v>
      </c>
      <c r="H109" s="134"/>
      <c r="I109" s="134">
        <v>8</v>
      </c>
      <c r="J109" s="136"/>
      <c r="K109" s="134">
        <f>VLOOKUP(F109,Plan2!$1:$1048576,8,FALSE)</f>
        <v>6</v>
      </c>
      <c r="L109" s="136">
        <v>42830</v>
      </c>
      <c r="M109" s="134" t="s">
        <v>402</v>
      </c>
      <c r="N109" s="134">
        <v>8</v>
      </c>
      <c r="O109" s="138">
        <f t="shared" si="1"/>
        <v>48</v>
      </c>
      <c r="P109" s="139">
        <v>42859</v>
      </c>
      <c r="Q109" s="168" t="s">
        <v>612</v>
      </c>
      <c r="R109" s="134">
        <v>339030</v>
      </c>
      <c r="S109" s="134">
        <v>35</v>
      </c>
      <c r="T109" s="134" t="s">
        <v>601</v>
      </c>
      <c r="U109" s="141"/>
    </row>
    <row r="110" spans="1:21" ht="46.5" customHeight="1" x14ac:dyDescent="0.25">
      <c r="A110" s="134" t="s">
        <v>380</v>
      </c>
      <c r="B110" s="134" t="s">
        <v>23</v>
      </c>
      <c r="C110" s="134" t="s">
        <v>381</v>
      </c>
      <c r="D110" s="135">
        <v>270400</v>
      </c>
      <c r="E110" s="134" t="s">
        <v>388</v>
      </c>
      <c r="F110" s="134">
        <v>91</v>
      </c>
      <c r="G110" s="153" t="s">
        <v>503</v>
      </c>
      <c r="H110" s="134"/>
      <c r="I110" s="134">
        <v>100</v>
      </c>
      <c r="J110" s="136"/>
      <c r="K110" s="134">
        <f>VLOOKUP(F110,Plan2!$1:$1048576,8,FALSE)</f>
        <v>4.1500000000000004</v>
      </c>
      <c r="L110" s="136">
        <v>42830</v>
      </c>
      <c r="M110" s="134" t="s">
        <v>402</v>
      </c>
      <c r="N110" s="134">
        <v>10</v>
      </c>
      <c r="O110" s="138">
        <f t="shared" si="1"/>
        <v>41.5</v>
      </c>
      <c r="P110" s="139">
        <v>42859</v>
      </c>
      <c r="Q110" s="168" t="s">
        <v>612</v>
      </c>
      <c r="R110" s="134">
        <v>339030</v>
      </c>
      <c r="S110" s="134">
        <v>35</v>
      </c>
      <c r="T110" s="134" t="s">
        <v>601</v>
      </c>
      <c r="U110" s="141"/>
    </row>
    <row r="111" spans="1:21" ht="46.5" customHeight="1" x14ac:dyDescent="0.25">
      <c r="A111" s="134" t="s">
        <v>380</v>
      </c>
      <c r="B111" s="134" t="s">
        <v>23</v>
      </c>
      <c r="C111" s="134" t="s">
        <v>381</v>
      </c>
      <c r="D111" s="135">
        <v>270400</v>
      </c>
      <c r="E111" s="134" t="s">
        <v>388</v>
      </c>
      <c r="F111" s="134">
        <v>92</v>
      </c>
      <c r="G111" s="153" t="s">
        <v>449</v>
      </c>
      <c r="H111" s="134"/>
      <c r="I111" s="134">
        <v>236</v>
      </c>
      <c r="J111" s="136"/>
      <c r="K111" s="138">
        <f>VLOOKUP(F111,Plan2!$1:$1048576,8,FALSE)</f>
        <v>5.7</v>
      </c>
      <c r="L111" s="136">
        <v>42830</v>
      </c>
      <c r="M111" s="134" t="s">
        <v>394</v>
      </c>
      <c r="N111" s="134">
        <v>167</v>
      </c>
      <c r="O111" s="138">
        <f t="shared" si="1"/>
        <v>951.9</v>
      </c>
      <c r="P111" s="169">
        <v>42894</v>
      </c>
      <c r="Q111" s="168" t="s">
        <v>602</v>
      </c>
      <c r="R111" s="134">
        <v>339030</v>
      </c>
      <c r="S111" s="134">
        <v>35</v>
      </c>
      <c r="T111" s="134" t="s">
        <v>609</v>
      </c>
      <c r="U111" s="141"/>
    </row>
    <row r="112" spans="1:21" ht="46.5" customHeight="1" x14ac:dyDescent="0.25">
      <c r="A112" s="134" t="s">
        <v>380</v>
      </c>
      <c r="B112" s="134" t="s">
        <v>23</v>
      </c>
      <c r="C112" s="134" t="s">
        <v>381</v>
      </c>
      <c r="D112" s="135">
        <v>270400</v>
      </c>
      <c r="E112" s="134" t="s">
        <v>388</v>
      </c>
      <c r="F112" s="134">
        <v>94</v>
      </c>
      <c r="G112" s="153" t="s">
        <v>468</v>
      </c>
      <c r="H112" s="134"/>
      <c r="I112" s="134">
        <v>200</v>
      </c>
      <c r="J112" s="136"/>
      <c r="K112" s="134">
        <f>VLOOKUP(F112,Plan2!$1:$1048576,8,FALSE)</f>
        <v>8</v>
      </c>
      <c r="L112" s="136">
        <v>42830</v>
      </c>
      <c r="M112" s="134" t="s">
        <v>402</v>
      </c>
      <c r="N112" s="134">
        <v>200</v>
      </c>
      <c r="O112" s="138">
        <f t="shared" si="1"/>
        <v>1600</v>
      </c>
      <c r="P112" s="139">
        <v>42859</v>
      </c>
      <c r="Q112" s="168" t="s">
        <v>612</v>
      </c>
      <c r="R112" s="134">
        <v>339030</v>
      </c>
      <c r="S112" s="134">
        <v>35</v>
      </c>
      <c r="T112" s="134" t="s">
        <v>601</v>
      </c>
      <c r="U112" s="141"/>
    </row>
    <row r="113" spans="1:21" ht="46.5" customHeight="1" x14ac:dyDescent="0.25">
      <c r="A113" s="134" t="s">
        <v>380</v>
      </c>
      <c r="B113" s="134" t="s">
        <v>23</v>
      </c>
      <c r="C113" s="134" t="s">
        <v>381</v>
      </c>
      <c r="D113" s="135">
        <v>270400</v>
      </c>
      <c r="E113" s="134" t="s">
        <v>388</v>
      </c>
      <c r="F113" s="134">
        <v>96</v>
      </c>
      <c r="G113" s="153" t="s">
        <v>469</v>
      </c>
      <c r="H113" s="134"/>
      <c r="I113" s="134">
        <v>100</v>
      </c>
      <c r="J113" s="136"/>
      <c r="K113" s="134">
        <f>VLOOKUP(F113,Plan2!$1:$1048576,8,FALSE)</f>
        <v>4.3499999999999996</v>
      </c>
      <c r="L113" s="136">
        <v>41734</v>
      </c>
      <c r="M113" s="134" t="s">
        <v>402</v>
      </c>
      <c r="N113" s="134">
        <v>66</v>
      </c>
      <c r="O113" s="138">
        <f t="shared" si="1"/>
        <v>287.09999999999997</v>
      </c>
      <c r="P113" s="139">
        <v>42859</v>
      </c>
      <c r="Q113" s="168" t="s">
        <v>612</v>
      </c>
      <c r="R113" s="134">
        <v>339030</v>
      </c>
      <c r="S113" s="134">
        <v>35</v>
      </c>
      <c r="T113" s="134" t="s">
        <v>601</v>
      </c>
      <c r="U113" s="141"/>
    </row>
    <row r="114" spans="1:21" ht="46.5" customHeight="1" x14ac:dyDescent="0.25">
      <c r="A114" s="134" t="s">
        <v>380</v>
      </c>
      <c r="B114" s="134" t="s">
        <v>23</v>
      </c>
      <c r="C114" s="134" t="s">
        <v>381</v>
      </c>
      <c r="D114" s="135">
        <v>270400</v>
      </c>
      <c r="E114" s="134" t="s">
        <v>388</v>
      </c>
      <c r="F114" s="134">
        <v>110</v>
      </c>
      <c r="G114" s="153" t="s">
        <v>485</v>
      </c>
      <c r="H114" s="134"/>
      <c r="I114" s="134">
        <v>40</v>
      </c>
      <c r="J114" s="136"/>
      <c r="K114" s="134">
        <f>VLOOKUP(F114,Plan2!$1:$1048576,8,FALSE)</f>
        <v>114.99</v>
      </c>
      <c r="L114" s="136"/>
      <c r="M114" s="134"/>
      <c r="N114" s="134"/>
      <c r="O114" s="138">
        <f t="shared" si="1"/>
        <v>0</v>
      </c>
      <c r="P114" s="139"/>
      <c r="Q114" s="140"/>
      <c r="R114" s="134"/>
      <c r="S114" s="134"/>
      <c r="T114" s="134" t="s">
        <v>403</v>
      </c>
      <c r="U114" s="141"/>
    </row>
    <row r="115" spans="1:21" ht="46.5" customHeight="1" x14ac:dyDescent="0.25">
      <c r="A115" s="134" t="s">
        <v>380</v>
      </c>
      <c r="B115" s="134" t="s">
        <v>23</v>
      </c>
      <c r="C115" s="134" t="s">
        <v>381</v>
      </c>
      <c r="D115" s="135">
        <v>270400</v>
      </c>
      <c r="E115" s="134" t="s">
        <v>388</v>
      </c>
      <c r="F115" s="134">
        <v>113</v>
      </c>
      <c r="G115" s="153" t="s">
        <v>504</v>
      </c>
      <c r="H115" s="134"/>
      <c r="I115" s="134">
        <v>8</v>
      </c>
      <c r="J115" s="136"/>
      <c r="K115" s="134">
        <f>VLOOKUP(F115,Plan2!$1:$1048576,8,FALSE)</f>
        <v>389</v>
      </c>
      <c r="L115" s="136">
        <v>42830</v>
      </c>
      <c r="M115" s="134" t="s">
        <v>402</v>
      </c>
      <c r="N115" s="134">
        <v>8</v>
      </c>
      <c r="O115" s="138">
        <f t="shared" si="1"/>
        <v>3112</v>
      </c>
      <c r="P115" s="139">
        <v>42859</v>
      </c>
      <c r="Q115" s="168" t="s">
        <v>612</v>
      </c>
      <c r="R115" s="134">
        <v>339030</v>
      </c>
      <c r="S115" s="134">
        <v>35</v>
      </c>
      <c r="T115" s="134" t="s">
        <v>601</v>
      </c>
      <c r="U115" s="141"/>
    </row>
    <row r="116" spans="1:21" ht="46.5" customHeight="1" x14ac:dyDescent="0.25">
      <c r="A116" s="134" t="s">
        <v>380</v>
      </c>
      <c r="B116" s="134" t="s">
        <v>23</v>
      </c>
      <c r="C116" s="134" t="s">
        <v>381</v>
      </c>
      <c r="D116" s="135">
        <v>270400</v>
      </c>
      <c r="E116" s="134" t="s">
        <v>388</v>
      </c>
      <c r="F116" s="134">
        <v>115</v>
      </c>
      <c r="G116" s="153" t="s">
        <v>505</v>
      </c>
      <c r="H116" s="134"/>
      <c r="I116" s="134">
        <v>10</v>
      </c>
      <c r="J116" s="136"/>
      <c r="K116" s="134">
        <f>VLOOKUP(F116,Plan2!$1:$1048576,8,FALSE)</f>
        <v>389</v>
      </c>
      <c r="L116" s="136">
        <v>42830</v>
      </c>
      <c r="M116" s="134" t="s">
        <v>402</v>
      </c>
      <c r="N116" s="134">
        <v>10</v>
      </c>
      <c r="O116" s="138">
        <f t="shared" si="1"/>
        <v>3890</v>
      </c>
      <c r="P116" s="139">
        <v>42859</v>
      </c>
      <c r="Q116" s="168" t="s">
        <v>612</v>
      </c>
      <c r="R116" s="134">
        <v>339030</v>
      </c>
      <c r="S116" s="134">
        <v>35</v>
      </c>
      <c r="T116" s="134" t="s">
        <v>601</v>
      </c>
      <c r="U116" s="141"/>
    </row>
    <row r="117" spans="1:21" ht="46.5" customHeight="1" x14ac:dyDescent="0.25">
      <c r="A117" s="134" t="s">
        <v>380</v>
      </c>
      <c r="B117" s="134" t="s">
        <v>23</v>
      </c>
      <c r="C117" s="134" t="s">
        <v>381</v>
      </c>
      <c r="D117" s="135">
        <v>270400</v>
      </c>
      <c r="E117" s="134" t="s">
        <v>388</v>
      </c>
      <c r="F117" s="134">
        <v>118</v>
      </c>
      <c r="G117" s="153" t="s">
        <v>450</v>
      </c>
      <c r="H117" s="134"/>
      <c r="I117" s="134">
        <v>10</v>
      </c>
      <c r="J117" s="136"/>
      <c r="K117" s="134">
        <f>VLOOKUP(F117,Plan2!$1:$1048576,8,FALSE)</f>
        <v>102</v>
      </c>
      <c r="L117" s="136">
        <v>42830</v>
      </c>
      <c r="M117" s="134" t="s">
        <v>402</v>
      </c>
      <c r="N117" s="134">
        <v>6</v>
      </c>
      <c r="O117" s="138">
        <f t="shared" si="1"/>
        <v>612</v>
      </c>
      <c r="P117" s="139">
        <v>42859</v>
      </c>
      <c r="Q117" s="168" t="s">
        <v>612</v>
      </c>
      <c r="R117" s="134">
        <v>339030</v>
      </c>
      <c r="S117" s="134">
        <v>35</v>
      </c>
      <c r="T117" s="134" t="s">
        <v>601</v>
      </c>
      <c r="U117" s="141"/>
    </row>
    <row r="118" spans="1:21" ht="46.5" customHeight="1" x14ac:dyDescent="0.25">
      <c r="A118" s="134" t="s">
        <v>380</v>
      </c>
      <c r="B118" s="134" t="s">
        <v>23</v>
      </c>
      <c r="C118" s="134" t="s">
        <v>381</v>
      </c>
      <c r="D118" s="135">
        <v>270400</v>
      </c>
      <c r="E118" s="134" t="s">
        <v>388</v>
      </c>
      <c r="F118" s="134">
        <v>116</v>
      </c>
      <c r="G118" s="153" t="s">
        <v>506</v>
      </c>
      <c r="H118" s="134"/>
      <c r="I118" s="134">
        <v>54</v>
      </c>
      <c r="J118" s="136"/>
      <c r="K118" s="134">
        <f>VLOOKUP(F118,Plan2!$1:$1048576,8,FALSE)</f>
        <v>4.84</v>
      </c>
      <c r="L118" s="136">
        <v>42830</v>
      </c>
      <c r="M118" s="134" t="s">
        <v>402</v>
      </c>
      <c r="N118" s="134">
        <v>23</v>
      </c>
      <c r="O118" s="138">
        <f t="shared" si="1"/>
        <v>111.32</v>
      </c>
      <c r="P118" s="139">
        <v>42859</v>
      </c>
      <c r="Q118" s="168" t="s">
        <v>612</v>
      </c>
      <c r="R118" s="134">
        <v>339030</v>
      </c>
      <c r="S118" s="134">
        <v>35</v>
      </c>
      <c r="T118" s="134" t="s">
        <v>601</v>
      </c>
      <c r="U118" s="141"/>
    </row>
    <row r="119" spans="1:21" ht="46.5" customHeight="1" x14ac:dyDescent="0.25">
      <c r="A119" s="134" t="s">
        <v>380</v>
      </c>
      <c r="B119" s="134" t="s">
        <v>23</v>
      </c>
      <c r="C119" s="134" t="s">
        <v>381</v>
      </c>
      <c r="D119" s="135">
        <v>270400</v>
      </c>
      <c r="E119" s="134" t="s">
        <v>388</v>
      </c>
      <c r="F119" s="134">
        <v>117</v>
      </c>
      <c r="G119" s="153" t="s">
        <v>451</v>
      </c>
      <c r="H119" s="134"/>
      <c r="I119" s="134">
        <v>30</v>
      </c>
      <c r="J119" s="136"/>
      <c r="K119" s="134">
        <f>VLOOKUP(F119,Plan2!$1:$1048576,8,FALSE)</f>
        <v>2.3199999999999998</v>
      </c>
      <c r="L119" s="136">
        <v>42830</v>
      </c>
      <c r="M119" s="134" t="s">
        <v>402</v>
      </c>
      <c r="N119" s="134">
        <v>30</v>
      </c>
      <c r="O119" s="138">
        <f t="shared" si="1"/>
        <v>69.599999999999994</v>
      </c>
      <c r="P119" s="139">
        <v>42859</v>
      </c>
      <c r="Q119" s="168" t="s">
        <v>612</v>
      </c>
      <c r="R119" s="134">
        <v>339030</v>
      </c>
      <c r="S119" s="134">
        <v>35</v>
      </c>
      <c r="T119" s="134" t="s">
        <v>601</v>
      </c>
      <c r="U119" s="141"/>
    </row>
    <row r="120" spans="1:21" ht="46.5" customHeight="1" x14ac:dyDescent="0.25">
      <c r="A120" s="134" t="s">
        <v>380</v>
      </c>
      <c r="B120" s="134" t="s">
        <v>23</v>
      </c>
      <c r="C120" s="134" t="s">
        <v>381</v>
      </c>
      <c r="D120" s="135">
        <v>270400</v>
      </c>
      <c r="E120" s="134" t="s">
        <v>388</v>
      </c>
      <c r="F120" s="134">
        <v>119</v>
      </c>
      <c r="G120" s="153" t="s">
        <v>452</v>
      </c>
      <c r="H120" s="134"/>
      <c r="I120" s="134">
        <v>2</v>
      </c>
      <c r="J120" s="136"/>
      <c r="K120" s="138">
        <f>VLOOKUP(F120,Plan2!$1:$1048576,8,FALSE)</f>
        <v>204.99</v>
      </c>
      <c r="L120" s="136">
        <v>42830</v>
      </c>
      <c r="M120" s="134" t="s">
        <v>393</v>
      </c>
      <c r="N120" s="134">
        <v>2</v>
      </c>
      <c r="O120" s="138">
        <f t="shared" si="1"/>
        <v>409.98</v>
      </c>
      <c r="P120" s="167">
        <v>42920</v>
      </c>
      <c r="Q120" s="173" t="s">
        <v>608</v>
      </c>
      <c r="R120" s="134">
        <v>339030</v>
      </c>
      <c r="S120" s="134">
        <v>35</v>
      </c>
      <c r="T120" s="134" t="s">
        <v>601</v>
      </c>
      <c r="U120" s="141"/>
    </row>
    <row r="121" spans="1:21" ht="46.5" customHeight="1" x14ac:dyDescent="0.25">
      <c r="A121" s="134" t="s">
        <v>380</v>
      </c>
      <c r="B121" s="134" t="s">
        <v>23</v>
      </c>
      <c r="C121" s="134" t="s">
        <v>381</v>
      </c>
      <c r="D121" s="135">
        <v>270400</v>
      </c>
      <c r="E121" s="134" t="s">
        <v>388</v>
      </c>
      <c r="F121" s="134">
        <v>120</v>
      </c>
      <c r="G121" s="153" t="s">
        <v>453</v>
      </c>
      <c r="H121" s="134"/>
      <c r="I121" s="134">
        <v>6</v>
      </c>
      <c r="J121" s="136"/>
      <c r="K121" s="134">
        <f>VLOOKUP(F121,Plan2!$1:$1048576,8,FALSE)</f>
        <v>2.2000000000000002</v>
      </c>
      <c r="L121" s="136">
        <v>42830</v>
      </c>
      <c r="M121" s="134" t="s">
        <v>402</v>
      </c>
      <c r="N121" s="134">
        <v>6</v>
      </c>
      <c r="O121" s="138">
        <f t="shared" si="1"/>
        <v>13.200000000000001</v>
      </c>
      <c r="P121" s="139">
        <v>42859</v>
      </c>
      <c r="Q121" s="168" t="s">
        <v>612</v>
      </c>
      <c r="R121" s="134">
        <v>339030</v>
      </c>
      <c r="S121" s="134">
        <v>35</v>
      </c>
      <c r="T121" s="134" t="s">
        <v>601</v>
      </c>
      <c r="U121" s="141"/>
    </row>
    <row r="122" spans="1:21" ht="46.5" customHeight="1" x14ac:dyDescent="0.25">
      <c r="A122" s="134" t="s">
        <v>380</v>
      </c>
      <c r="B122" s="134" t="s">
        <v>23</v>
      </c>
      <c r="C122" s="134" t="s">
        <v>381</v>
      </c>
      <c r="D122" s="135">
        <v>270400</v>
      </c>
      <c r="E122" s="134" t="s">
        <v>388</v>
      </c>
      <c r="F122" s="134">
        <v>121</v>
      </c>
      <c r="G122" s="153" t="s">
        <v>470</v>
      </c>
      <c r="H122" s="134"/>
      <c r="I122" s="134">
        <v>6</v>
      </c>
      <c r="J122" s="136"/>
      <c r="K122" s="134">
        <f>VLOOKUP(F122,Plan2!$1:$1048576,8,FALSE)</f>
        <v>3.12</v>
      </c>
      <c r="L122" s="136">
        <v>42830</v>
      </c>
      <c r="M122" s="134" t="s">
        <v>395</v>
      </c>
      <c r="N122" s="134">
        <v>6</v>
      </c>
      <c r="O122" s="138">
        <f t="shared" si="1"/>
        <v>18.72</v>
      </c>
      <c r="P122" s="167">
        <v>42872</v>
      </c>
      <c r="Q122" s="173" t="s">
        <v>610</v>
      </c>
      <c r="R122" s="134">
        <v>339030</v>
      </c>
      <c r="S122" s="134">
        <v>35</v>
      </c>
      <c r="T122" s="134" t="s">
        <v>601</v>
      </c>
      <c r="U122" s="141"/>
    </row>
    <row r="123" spans="1:21" ht="46.5" customHeight="1" x14ac:dyDescent="0.25">
      <c r="A123" s="134" t="s">
        <v>380</v>
      </c>
      <c r="B123" s="134" t="s">
        <v>23</v>
      </c>
      <c r="C123" s="134" t="s">
        <v>381</v>
      </c>
      <c r="D123" s="135">
        <v>270400</v>
      </c>
      <c r="E123" s="134" t="s">
        <v>388</v>
      </c>
      <c r="F123" s="134">
        <v>122</v>
      </c>
      <c r="G123" s="153" t="s">
        <v>471</v>
      </c>
      <c r="H123" s="134"/>
      <c r="I123" s="134">
        <v>20</v>
      </c>
      <c r="J123" s="136"/>
      <c r="K123" s="134">
        <f>VLOOKUP(F123,Plan2!$1:$1048576,8,FALSE)</f>
        <v>2.78</v>
      </c>
      <c r="L123" s="136">
        <v>42830</v>
      </c>
      <c r="M123" s="134" t="s">
        <v>402</v>
      </c>
      <c r="N123" s="134">
        <v>20</v>
      </c>
      <c r="O123" s="138">
        <f t="shared" si="1"/>
        <v>55.599999999999994</v>
      </c>
      <c r="P123" s="139">
        <v>42859</v>
      </c>
      <c r="Q123" s="168" t="s">
        <v>612</v>
      </c>
      <c r="R123" s="134">
        <v>339030</v>
      </c>
      <c r="S123" s="134">
        <v>35</v>
      </c>
      <c r="T123" s="134" t="s">
        <v>601</v>
      </c>
      <c r="U123" s="141"/>
    </row>
    <row r="124" spans="1:21" ht="46.5" customHeight="1" x14ac:dyDescent="0.25">
      <c r="A124" s="134" t="s">
        <v>380</v>
      </c>
      <c r="B124" s="134" t="s">
        <v>23</v>
      </c>
      <c r="C124" s="134" t="s">
        <v>381</v>
      </c>
      <c r="D124" s="135">
        <v>270400</v>
      </c>
      <c r="E124" s="134" t="s">
        <v>388</v>
      </c>
      <c r="F124" s="134">
        <v>124</v>
      </c>
      <c r="G124" s="153" t="s">
        <v>454</v>
      </c>
      <c r="H124" s="134"/>
      <c r="I124" s="134">
        <v>22</v>
      </c>
      <c r="J124" s="136"/>
      <c r="K124" s="134">
        <f>VLOOKUP(F124,Plan2!$1:$1048576,8,FALSE)</f>
        <v>5.99</v>
      </c>
      <c r="L124" s="136">
        <v>41734</v>
      </c>
      <c r="M124" s="134" t="s">
        <v>402</v>
      </c>
      <c r="N124" s="134">
        <v>22</v>
      </c>
      <c r="O124" s="138">
        <f t="shared" si="1"/>
        <v>131.78</v>
      </c>
      <c r="P124" s="139">
        <v>42859</v>
      </c>
      <c r="Q124" s="168" t="s">
        <v>612</v>
      </c>
      <c r="R124" s="134">
        <v>339030</v>
      </c>
      <c r="S124" s="134">
        <v>35</v>
      </c>
      <c r="T124" s="134" t="s">
        <v>601</v>
      </c>
      <c r="U124" s="141"/>
    </row>
    <row r="125" spans="1:21" ht="46.5" customHeight="1" x14ac:dyDescent="0.25">
      <c r="A125" s="134" t="s">
        <v>380</v>
      </c>
      <c r="B125" s="134" t="s">
        <v>23</v>
      </c>
      <c r="C125" s="134" t="s">
        <v>381</v>
      </c>
      <c r="D125" s="135">
        <v>270400</v>
      </c>
      <c r="E125" s="134" t="s">
        <v>388</v>
      </c>
      <c r="F125" s="134">
        <v>125</v>
      </c>
      <c r="G125" s="153" t="s">
        <v>473</v>
      </c>
      <c r="H125" s="134"/>
      <c r="I125" s="134">
        <v>10</v>
      </c>
      <c r="J125" s="136"/>
      <c r="K125" s="134">
        <f>VLOOKUP(F125,Plan2!$1:$1048576,8,FALSE)</f>
        <v>5.2</v>
      </c>
      <c r="L125" s="136">
        <v>42830</v>
      </c>
      <c r="M125" s="134" t="s">
        <v>402</v>
      </c>
      <c r="N125" s="134">
        <v>10</v>
      </c>
      <c r="O125" s="138">
        <f t="shared" si="1"/>
        <v>52</v>
      </c>
      <c r="P125" s="139">
        <v>42859</v>
      </c>
      <c r="Q125" s="168" t="s">
        <v>612</v>
      </c>
      <c r="R125" s="134">
        <v>339030</v>
      </c>
      <c r="S125" s="134">
        <v>35</v>
      </c>
      <c r="T125" s="134" t="s">
        <v>601</v>
      </c>
      <c r="U125" s="141"/>
    </row>
    <row r="126" spans="1:21" ht="46.5" customHeight="1" x14ac:dyDescent="0.25">
      <c r="A126" s="134" t="s">
        <v>380</v>
      </c>
      <c r="B126" s="134" t="s">
        <v>23</v>
      </c>
      <c r="C126" s="134" t="s">
        <v>381</v>
      </c>
      <c r="D126" s="135">
        <v>270400</v>
      </c>
      <c r="E126" s="134" t="s">
        <v>388</v>
      </c>
      <c r="F126" s="134">
        <v>126</v>
      </c>
      <c r="G126" s="153" t="s">
        <v>507</v>
      </c>
      <c r="H126" s="134"/>
      <c r="I126" s="134">
        <v>30</v>
      </c>
      <c r="J126" s="136"/>
      <c r="K126" s="134">
        <f>VLOOKUP(F126,Plan2!$1:$1048576,8,FALSE)</f>
        <v>8.2899999999999991</v>
      </c>
      <c r="L126" s="136">
        <v>42830</v>
      </c>
      <c r="M126" s="134" t="s">
        <v>402</v>
      </c>
      <c r="N126" s="134">
        <v>30</v>
      </c>
      <c r="O126" s="138">
        <f t="shared" si="1"/>
        <v>248.7</v>
      </c>
      <c r="P126" s="139">
        <v>42859</v>
      </c>
      <c r="Q126" s="168" t="s">
        <v>612</v>
      </c>
      <c r="R126" s="134">
        <v>339030</v>
      </c>
      <c r="S126" s="134">
        <v>35</v>
      </c>
      <c r="T126" s="134" t="s">
        <v>601</v>
      </c>
      <c r="U126" s="141"/>
    </row>
    <row r="127" spans="1:21" ht="46.5" customHeight="1" x14ac:dyDescent="0.25">
      <c r="A127" s="134" t="s">
        <v>380</v>
      </c>
      <c r="B127" s="134" t="s">
        <v>23</v>
      </c>
      <c r="C127" s="134" t="s">
        <v>381</v>
      </c>
      <c r="D127" s="135">
        <v>270400</v>
      </c>
      <c r="E127" s="134" t="s">
        <v>388</v>
      </c>
      <c r="F127" s="134">
        <v>128</v>
      </c>
      <c r="G127" s="153" t="s">
        <v>508</v>
      </c>
      <c r="H127" s="134"/>
      <c r="I127" s="134">
        <v>40</v>
      </c>
      <c r="J127" s="136"/>
      <c r="K127" s="134">
        <f>VLOOKUP(F127,Plan2!$1:$1048576,8,FALSE)</f>
        <v>117.77</v>
      </c>
      <c r="L127" s="136">
        <v>42830</v>
      </c>
      <c r="M127" s="134" t="s">
        <v>402</v>
      </c>
      <c r="N127" s="134">
        <v>40</v>
      </c>
      <c r="O127" s="138">
        <f t="shared" si="1"/>
        <v>4710.8</v>
      </c>
      <c r="P127" s="139">
        <v>42859</v>
      </c>
      <c r="Q127" s="168" t="s">
        <v>612</v>
      </c>
      <c r="R127" s="134">
        <v>339030</v>
      </c>
      <c r="S127" s="134">
        <v>35</v>
      </c>
      <c r="T127" s="134" t="s">
        <v>601</v>
      </c>
      <c r="U127" s="141"/>
    </row>
    <row r="128" spans="1:21" ht="46.5" customHeight="1" x14ac:dyDescent="0.25">
      <c r="A128" s="134" t="s">
        <v>380</v>
      </c>
      <c r="B128" s="134" t="s">
        <v>23</v>
      </c>
      <c r="C128" s="134" t="s">
        <v>381</v>
      </c>
      <c r="D128" s="135">
        <v>270400</v>
      </c>
      <c r="E128" s="134" t="s">
        <v>388</v>
      </c>
      <c r="F128" s="134">
        <v>136</v>
      </c>
      <c r="G128" s="153" t="s">
        <v>474</v>
      </c>
      <c r="H128" s="134"/>
      <c r="I128" s="134">
        <v>120</v>
      </c>
      <c r="J128" s="136"/>
      <c r="K128" s="134">
        <f>VLOOKUP(F128,Plan2!$1:$1048576,8,FALSE)</f>
        <v>4.05</v>
      </c>
      <c r="L128" s="136">
        <v>42830</v>
      </c>
      <c r="M128" s="134" t="s">
        <v>402</v>
      </c>
      <c r="N128" s="134">
        <v>120</v>
      </c>
      <c r="O128" s="138">
        <f t="shared" si="1"/>
        <v>486</v>
      </c>
      <c r="P128" s="139">
        <v>42859</v>
      </c>
      <c r="Q128" s="168" t="s">
        <v>612</v>
      </c>
      <c r="R128" s="134">
        <v>339030</v>
      </c>
      <c r="S128" s="134">
        <v>35</v>
      </c>
      <c r="T128" s="134" t="s">
        <v>601</v>
      </c>
      <c r="U128" s="141"/>
    </row>
    <row r="129" spans="1:21" ht="46.5" customHeight="1" x14ac:dyDescent="0.25">
      <c r="A129" s="134" t="s">
        <v>380</v>
      </c>
      <c r="B129" s="134" t="s">
        <v>23</v>
      </c>
      <c r="C129" s="134" t="s">
        <v>381</v>
      </c>
      <c r="D129" s="135">
        <v>270400</v>
      </c>
      <c r="E129" s="134" t="s">
        <v>388</v>
      </c>
      <c r="F129" s="134">
        <v>138</v>
      </c>
      <c r="G129" s="153" t="s">
        <v>486</v>
      </c>
      <c r="H129" s="134"/>
      <c r="I129" s="134">
        <v>120</v>
      </c>
      <c r="J129" s="136"/>
      <c r="K129" s="134">
        <f>VLOOKUP(F129,Plan2!$1:$1048576,8,FALSE)</f>
        <v>5.95</v>
      </c>
      <c r="L129" s="136">
        <v>42830</v>
      </c>
      <c r="M129" s="134" t="s">
        <v>402</v>
      </c>
      <c r="N129" s="134">
        <v>108</v>
      </c>
      <c r="O129" s="138">
        <f t="shared" si="1"/>
        <v>642.6</v>
      </c>
      <c r="P129" s="139">
        <v>42859</v>
      </c>
      <c r="Q129" s="168" t="s">
        <v>612</v>
      </c>
      <c r="R129" s="134">
        <v>339030</v>
      </c>
      <c r="S129" s="134">
        <v>35</v>
      </c>
      <c r="T129" s="134" t="s">
        <v>601</v>
      </c>
      <c r="U129" s="141"/>
    </row>
    <row r="130" spans="1:21" ht="46.5" customHeight="1" x14ac:dyDescent="0.25">
      <c r="A130" s="134" t="s">
        <v>380</v>
      </c>
      <c r="B130" s="134" t="s">
        <v>23</v>
      </c>
      <c r="C130" s="134" t="s">
        <v>381</v>
      </c>
      <c r="D130" s="135">
        <v>270400</v>
      </c>
      <c r="E130" s="134" t="s">
        <v>388</v>
      </c>
      <c r="F130" s="134">
        <v>141</v>
      </c>
      <c r="G130" s="153" t="s">
        <v>509</v>
      </c>
      <c r="H130" s="134"/>
      <c r="I130" s="134">
        <v>150</v>
      </c>
      <c r="J130" s="136"/>
      <c r="K130" s="138">
        <f>VLOOKUP(F130,Plan2!$1:$1048576,8,FALSE)</f>
        <v>4.38</v>
      </c>
      <c r="L130" s="136">
        <v>42830</v>
      </c>
      <c r="M130" s="134" t="s">
        <v>393</v>
      </c>
      <c r="N130" s="134">
        <v>130</v>
      </c>
      <c r="O130" s="138">
        <f t="shared" si="1"/>
        <v>569.4</v>
      </c>
      <c r="P130" s="167">
        <v>42920</v>
      </c>
      <c r="Q130" s="173" t="s">
        <v>608</v>
      </c>
      <c r="R130" s="134">
        <v>339030</v>
      </c>
      <c r="S130" s="134">
        <v>35</v>
      </c>
      <c r="T130" s="134" t="s">
        <v>609</v>
      </c>
      <c r="U130" s="141"/>
    </row>
    <row r="131" spans="1:21" ht="46.5" customHeight="1" x14ac:dyDescent="0.25">
      <c r="A131" s="134" t="s">
        <v>380</v>
      </c>
      <c r="B131" s="134" t="s">
        <v>23</v>
      </c>
      <c r="C131" s="134" t="s">
        <v>381</v>
      </c>
      <c r="D131" s="135">
        <v>270400</v>
      </c>
      <c r="E131" s="134" t="s">
        <v>388</v>
      </c>
      <c r="F131" s="134">
        <v>142</v>
      </c>
      <c r="G131" s="153" t="s">
        <v>510</v>
      </c>
      <c r="H131" s="134"/>
      <c r="I131" s="134">
        <v>150</v>
      </c>
      <c r="J131" s="136"/>
      <c r="K131" s="138">
        <f>VLOOKUP(F131,Plan2!$1:$1048576,8,FALSE)</f>
        <v>4.79</v>
      </c>
      <c r="L131" s="136">
        <v>42830</v>
      </c>
      <c r="M131" s="134" t="s">
        <v>393</v>
      </c>
      <c r="N131" s="134">
        <v>130</v>
      </c>
      <c r="O131" s="138">
        <f t="shared" ref="O131:O192" si="2">N131*K131</f>
        <v>622.70000000000005</v>
      </c>
      <c r="P131" s="167">
        <v>42920</v>
      </c>
      <c r="Q131" s="173" t="s">
        <v>608</v>
      </c>
      <c r="R131" s="134">
        <v>339030</v>
      </c>
      <c r="S131" s="134">
        <v>35</v>
      </c>
      <c r="T131" s="134" t="s">
        <v>601</v>
      </c>
      <c r="U131" s="141"/>
    </row>
    <row r="132" spans="1:21" ht="46.5" customHeight="1" x14ac:dyDescent="0.25">
      <c r="A132" s="134" t="s">
        <v>380</v>
      </c>
      <c r="B132" s="134" t="s">
        <v>23</v>
      </c>
      <c r="C132" s="134" t="s">
        <v>381</v>
      </c>
      <c r="D132" s="135">
        <v>270400</v>
      </c>
      <c r="E132" s="134" t="s">
        <v>388</v>
      </c>
      <c r="F132" s="134">
        <v>155</v>
      </c>
      <c r="G132" s="153" t="s">
        <v>511</v>
      </c>
      <c r="H132" s="134"/>
      <c r="I132" s="134">
        <v>14</v>
      </c>
      <c r="J132" s="136"/>
      <c r="K132" s="134">
        <f>VLOOKUP(F132,Plan2!$1:$1048576,8,FALSE)</f>
        <v>15.97</v>
      </c>
      <c r="L132" s="136">
        <v>42830</v>
      </c>
      <c r="M132" s="134" t="s">
        <v>402</v>
      </c>
      <c r="N132" s="134">
        <v>14</v>
      </c>
      <c r="O132" s="138">
        <f t="shared" si="2"/>
        <v>223.58</v>
      </c>
      <c r="P132" s="139">
        <v>42859</v>
      </c>
      <c r="Q132" s="168" t="s">
        <v>612</v>
      </c>
      <c r="R132" s="174">
        <v>339030</v>
      </c>
      <c r="S132" s="134">
        <v>35</v>
      </c>
      <c r="T132" s="134" t="s">
        <v>601</v>
      </c>
      <c r="U132" s="141"/>
    </row>
    <row r="133" spans="1:21" ht="46.5" customHeight="1" x14ac:dyDescent="0.25">
      <c r="A133" s="134" t="s">
        <v>380</v>
      </c>
      <c r="B133" s="134" t="s">
        <v>23</v>
      </c>
      <c r="C133" s="134" t="s">
        <v>381</v>
      </c>
      <c r="D133" s="135">
        <v>270400</v>
      </c>
      <c r="E133" s="134" t="s">
        <v>388</v>
      </c>
      <c r="F133" s="134">
        <v>1</v>
      </c>
      <c r="G133" s="153" t="s">
        <v>455</v>
      </c>
      <c r="H133" s="134"/>
      <c r="I133" s="134">
        <v>10</v>
      </c>
      <c r="J133" s="136"/>
      <c r="K133" s="134">
        <f>VLOOKUP(F133,Plan2!$1:$1048576,8,FALSE)</f>
        <v>1020</v>
      </c>
      <c r="L133" s="136">
        <v>42830</v>
      </c>
      <c r="M133" s="134" t="s">
        <v>401</v>
      </c>
      <c r="N133" s="134">
        <v>10</v>
      </c>
      <c r="O133" s="138">
        <f t="shared" si="2"/>
        <v>10200</v>
      </c>
      <c r="P133" s="139">
        <v>42859</v>
      </c>
      <c r="Q133" s="140">
        <v>8214</v>
      </c>
      <c r="R133" s="168" t="s">
        <v>612</v>
      </c>
      <c r="S133" s="134">
        <v>35</v>
      </c>
      <c r="T133" s="134" t="s">
        <v>601</v>
      </c>
      <c r="U133" s="141"/>
    </row>
    <row r="134" spans="1:21" ht="46.5" customHeight="1" x14ac:dyDescent="0.25">
      <c r="A134" s="134" t="s">
        <v>380</v>
      </c>
      <c r="B134" s="134" t="s">
        <v>23</v>
      </c>
      <c r="C134" s="134" t="s">
        <v>381</v>
      </c>
      <c r="D134" s="135">
        <v>270400</v>
      </c>
      <c r="E134" s="134" t="s">
        <v>388</v>
      </c>
      <c r="F134" s="134">
        <v>2</v>
      </c>
      <c r="G134" s="153" t="s">
        <v>512</v>
      </c>
      <c r="H134" s="134"/>
      <c r="I134" s="134">
        <v>10</v>
      </c>
      <c r="J134" s="136"/>
      <c r="K134" s="134">
        <f>VLOOKUP(F134,Plan2!$1:$1048576,8,FALSE)</f>
        <v>1800</v>
      </c>
      <c r="L134" s="136">
        <v>42830</v>
      </c>
      <c r="M134" s="134" t="s">
        <v>401</v>
      </c>
      <c r="N134" s="134">
        <v>10</v>
      </c>
      <c r="O134" s="138">
        <f>N134*K134</f>
        <v>18000</v>
      </c>
      <c r="P134" s="139">
        <v>42859</v>
      </c>
      <c r="Q134" s="140">
        <v>8214</v>
      </c>
      <c r="R134" s="168" t="s">
        <v>612</v>
      </c>
      <c r="S134" s="134">
        <v>35</v>
      </c>
      <c r="T134" s="134" t="s">
        <v>601</v>
      </c>
      <c r="U134" s="141"/>
    </row>
    <row r="135" spans="1:21" ht="46.5" customHeight="1" x14ac:dyDescent="0.25">
      <c r="A135" s="134" t="s">
        <v>380</v>
      </c>
      <c r="B135" s="134" t="s">
        <v>23</v>
      </c>
      <c r="C135" s="134" t="s">
        <v>381</v>
      </c>
      <c r="D135" s="135">
        <v>280400</v>
      </c>
      <c r="E135" s="134" t="s">
        <v>389</v>
      </c>
      <c r="F135" s="134">
        <v>58</v>
      </c>
      <c r="G135" s="153" t="s">
        <v>442</v>
      </c>
      <c r="H135" s="134"/>
      <c r="I135" s="134">
        <v>2</v>
      </c>
      <c r="J135" s="136"/>
      <c r="K135" s="134">
        <f>VLOOKUP(F135,Plan2!$1:$1048576,8,FALSE)</f>
        <v>24</v>
      </c>
      <c r="L135" s="136">
        <v>42830</v>
      </c>
      <c r="M135" s="134" t="s">
        <v>402</v>
      </c>
      <c r="N135" s="134">
        <v>2</v>
      </c>
      <c r="O135" s="138">
        <f t="shared" si="2"/>
        <v>48</v>
      </c>
      <c r="P135" s="139">
        <v>42859</v>
      </c>
      <c r="Q135" s="168" t="s">
        <v>612</v>
      </c>
      <c r="R135" s="134">
        <v>339030</v>
      </c>
      <c r="S135" s="134">
        <v>35</v>
      </c>
      <c r="T135" s="134" t="s">
        <v>601</v>
      </c>
      <c r="U135" s="141"/>
    </row>
    <row r="136" spans="1:21" ht="46.5" customHeight="1" x14ac:dyDescent="0.25">
      <c r="A136" s="134" t="s">
        <v>380</v>
      </c>
      <c r="B136" s="134" t="s">
        <v>23</v>
      </c>
      <c r="C136" s="134" t="s">
        <v>381</v>
      </c>
      <c r="D136" s="135">
        <v>280400</v>
      </c>
      <c r="E136" s="134" t="s">
        <v>389</v>
      </c>
      <c r="F136" s="134">
        <v>120</v>
      </c>
      <c r="G136" s="153" t="s">
        <v>453</v>
      </c>
      <c r="H136" s="134"/>
      <c r="I136" s="134">
        <v>4</v>
      </c>
      <c r="J136" s="136"/>
      <c r="K136" s="134">
        <f>VLOOKUP(F136,Plan2!$1:$1048576,8,FALSE)</f>
        <v>2.2000000000000002</v>
      </c>
      <c r="L136" s="136">
        <v>42830</v>
      </c>
      <c r="M136" s="134" t="s">
        <v>402</v>
      </c>
      <c r="N136" s="134">
        <v>4</v>
      </c>
      <c r="O136" s="138">
        <f t="shared" si="2"/>
        <v>8.8000000000000007</v>
      </c>
      <c r="P136" s="139">
        <v>42859</v>
      </c>
      <c r="Q136" s="168" t="s">
        <v>612</v>
      </c>
      <c r="R136" s="134">
        <v>339030</v>
      </c>
      <c r="S136" s="134">
        <v>35</v>
      </c>
      <c r="T136" s="134" t="s">
        <v>601</v>
      </c>
      <c r="U136" s="141"/>
    </row>
    <row r="137" spans="1:21" ht="46.5" customHeight="1" x14ac:dyDescent="0.25">
      <c r="A137" s="134" t="s">
        <v>380</v>
      </c>
      <c r="B137" s="134" t="s">
        <v>23</v>
      </c>
      <c r="C137" s="134" t="s">
        <v>381</v>
      </c>
      <c r="D137" s="135">
        <v>280400</v>
      </c>
      <c r="E137" s="134" t="s">
        <v>389</v>
      </c>
      <c r="F137" s="134">
        <v>123</v>
      </c>
      <c r="G137" s="153" t="s">
        <v>472</v>
      </c>
      <c r="H137" s="134"/>
      <c r="I137" s="134">
        <v>2</v>
      </c>
      <c r="J137" s="136"/>
      <c r="K137" s="134">
        <f>VLOOKUP(F137,Plan2!$1:$1048576,8,FALSE)</f>
        <v>3.68</v>
      </c>
      <c r="L137" s="136">
        <v>42830</v>
      </c>
      <c r="M137" s="134" t="s">
        <v>402</v>
      </c>
      <c r="N137" s="134">
        <v>2</v>
      </c>
      <c r="O137" s="138">
        <f t="shared" si="2"/>
        <v>7.36</v>
      </c>
      <c r="P137" s="139">
        <v>42859</v>
      </c>
      <c r="Q137" s="168" t="s">
        <v>612</v>
      </c>
      <c r="R137" s="134">
        <v>339030</v>
      </c>
      <c r="S137" s="134">
        <v>35</v>
      </c>
      <c r="T137" s="134" t="s">
        <v>601</v>
      </c>
      <c r="U137" s="141"/>
    </row>
    <row r="138" spans="1:21" ht="46.5" customHeight="1" x14ac:dyDescent="0.25">
      <c r="A138" s="134" t="s">
        <v>380</v>
      </c>
      <c r="B138" s="134" t="s">
        <v>23</v>
      </c>
      <c r="C138" s="134" t="s">
        <v>381</v>
      </c>
      <c r="D138" s="135">
        <v>280400</v>
      </c>
      <c r="E138" s="134" t="s">
        <v>389</v>
      </c>
      <c r="F138" s="134">
        <v>125</v>
      </c>
      <c r="G138" s="153" t="s">
        <v>473</v>
      </c>
      <c r="H138" s="134"/>
      <c r="I138" s="134">
        <v>4</v>
      </c>
      <c r="J138" s="136"/>
      <c r="K138" s="134">
        <f>VLOOKUP(F138,Plan2!$1:$1048576,8,FALSE)</f>
        <v>5.2</v>
      </c>
      <c r="L138" s="136">
        <v>42830</v>
      </c>
      <c r="M138" s="134" t="s">
        <v>402</v>
      </c>
      <c r="N138" s="134">
        <v>4</v>
      </c>
      <c r="O138" s="138">
        <f t="shared" si="2"/>
        <v>20.8</v>
      </c>
      <c r="P138" s="139">
        <v>42859</v>
      </c>
      <c r="Q138" s="168" t="s">
        <v>612</v>
      </c>
      <c r="R138" s="134">
        <v>339030</v>
      </c>
      <c r="S138" s="134">
        <v>35</v>
      </c>
      <c r="T138" s="134" t="s">
        <v>601</v>
      </c>
      <c r="U138" s="141"/>
    </row>
    <row r="139" spans="1:21" ht="46.5" customHeight="1" x14ac:dyDescent="0.25">
      <c r="A139" s="134" t="s">
        <v>380</v>
      </c>
      <c r="B139" s="134" t="s">
        <v>23</v>
      </c>
      <c r="C139" s="134" t="s">
        <v>381</v>
      </c>
      <c r="D139" s="135">
        <v>290000</v>
      </c>
      <c r="E139" s="134" t="s">
        <v>203</v>
      </c>
      <c r="F139" s="134">
        <v>119</v>
      </c>
      <c r="G139" s="153" t="s">
        <v>452</v>
      </c>
      <c r="H139" s="134"/>
      <c r="I139" s="134">
        <v>1</v>
      </c>
      <c r="J139" s="136"/>
      <c r="K139" s="138">
        <f>VLOOKUP(F139,Plan2!$1:$1048576,8,FALSE)</f>
        <v>204.99</v>
      </c>
      <c r="L139" s="136">
        <v>42830</v>
      </c>
      <c r="M139" s="134" t="s">
        <v>393</v>
      </c>
      <c r="N139" s="134">
        <v>1</v>
      </c>
      <c r="O139" s="138">
        <f t="shared" si="2"/>
        <v>204.99</v>
      </c>
      <c r="P139" s="167">
        <v>42920</v>
      </c>
      <c r="Q139" s="173" t="s">
        <v>608</v>
      </c>
      <c r="R139" s="134">
        <v>339030</v>
      </c>
      <c r="S139" s="134">
        <v>35</v>
      </c>
      <c r="T139" s="134" t="s">
        <v>601</v>
      </c>
      <c r="U139" s="141"/>
    </row>
    <row r="140" spans="1:21" ht="46.5" customHeight="1" x14ac:dyDescent="0.25">
      <c r="A140" s="134" t="s">
        <v>380</v>
      </c>
      <c r="B140" s="134" t="s">
        <v>23</v>
      </c>
      <c r="C140" s="134" t="s">
        <v>381</v>
      </c>
      <c r="D140" s="135">
        <v>310000</v>
      </c>
      <c r="E140" s="134" t="s">
        <v>390</v>
      </c>
      <c r="F140" s="134">
        <v>116</v>
      </c>
      <c r="G140" s="153" t="s">
        <v>506</v>
      </c>
      <c r="H140" s="134"/>
      <c r="I140" s="134">
        <v>2</v>
      </c>
      <c r="J140" s="136"/>
      <c r="K140" s="134">
        <f>VLOOKUP(F140,Plan2!$1:$1048576,8,FALSE)</f>
        <v>4.84</v>
      </c>
      <c r="L140" s="136">
        <v>42830</v>
      </c>
      <c r="M140" s="134" t="s">
        <v>402</v>
      </c>
      <c r="N140" s="134">
        <v>2</v>
      </c>
      <c r="O140" s="138">
        <f t="shared" si="2"/>
        <v>9.68</v>
      </c>
      <c r="P140" s="139">
        <v>42859</v>
      </c>
      <c r="Q140" s="168" t="s">
        <v>612</v>
      </c>
      <c r="R140" s="134">
        <v>339030</v>
      </c>
      <c r="S140" s="134">
        <v>35</v>
      </c>
      <c r="T140" s="134" t="s">
        <v>601</v>
      </c>
      <c r="U140" s="141"/>
    </row>
    <row r="141" spans="1:21" ht="46.5" customHeight="1" x14ac:dyDescent="0.25">
      <c r="A141" s="134" t="s">
        <v>380</v>
      </c>
      <c r="B141" s="134" t="s">
        <v>23</v>
      </c>
      <c r="C141" s="134" t="s">
        <v>381</v>
      </c>
      <c r="D141" s="135">
        <v>310000</v>
      </c>
      <c r="E141" s="134" t="s">
        <v>390</v>
      </c>
      <c r="F141" s="134">
        <v>117</v>
      </c>
      <c r="G141" s="153" t="s">
        <v>451</v>
      </c>
      <c r="H141" s="134"/>
      <c r="I141" s="134">
        <v>2</v>
      </c>
      <c r="J141" s="136"/>
      <c r="K141" s="134">
        <f>VLOOKUP(F141,Plan2!$1:$1048576,8,FALSE)</f>
        <v>2.3199999999999998</v>
      </c>
      <c r="L141" s="136">
        <v>42830</v>
      </c>
      <c r="M141" s="134" t="s">
        <v>402</v>
      </c>
      <c r="N141" s="134">
        <v>2</v>
      </c>
      <c r="O141" s="138">
        <f t="shared" si="2"/>
        <v>4.6399999999999997</v>
      </c>
      <c r="P141" s="139">
        <v>42859</v>
      </c>
      <c r="Q141" s="168" t="s">
        <v>612</v>
      </c>
      <c r="R141" s="134">
        <v>339030</v>
      </c>
      <c r="S141" s="134">
        <v>35</v>
      </c>
      <c r="T141" s="134" t="s">
        <v>601</v>
      </c>
      <c r="U141" s="141"/>
    </row>
    <row r="142" spans="1:21" ht="46.5" customHeight="1" x14ac:dyDescent="0.25">
      <c r="A142" s="134" t="s">
        <v>380</v>
      </c>
      <c r="B142" s="134" t="s">
        <v>23</v>
      </c>
      <c r="C142" s="134" t="s">
        <v>381</v>
      </c>
      <c r="D142" s="135">
        <v>310000</v>
      </c>
      <c r="E142" s="134" t="s">
        <v>390</v>
      </c>
      <c r="F142" s="134">
        <v>126</v>
      </c>
      <c r="G142" s="153" t="s">
        <v>507</v>
      </c>
      <c r="H142" s="134"/>
      <c r="I142" s="134">
        <v>3</v>
      </c>
      <c r="J142" s="136"/>
      <c r="K142" s="134">
        <f>VLOOKUP(F142,Plan2!$1:$1048576,8,FALSE)</f>
        <v>8.2899999999999991</v>
      </c>
      <c r="L142" s="136">
        <v>41734</v>
      </c>
      <c r="M142" s="134" t="s">
        <v>402</v>
      </c>
      <c r="N142" s="134">
        <v>3</v>
      </c>
      <c r="O142" s="138">
        <f t="shared" si="2"/>
        <v>24.869999999999997</v>
      </c>
      <c r="P142" s="139">
        <v>42859</v>
      </c>
      <c r="Q142" s="168" t="s">
        <v>612</v>
      </c>
      <c r="R142" s="134">
        <v>339030</v>
      </c>
      <c r="S142" s="134">
        <v>35</v>
      </c>
      <c r="T142" s="134" t="s">
        <v>601</v>
      </c>
      <c r="U142" s="141"/>
    </row>
    <row r="143" spans="1:21" ht="46.5" customHeight="1" x14ac:dyDescent="0.25">
      <c r="A143" s="134" t="s">
        <v>380</v>
      </c>
      <c r="B143" s="134" t="s">
        <v>23</v>
      </c>
      <c r="C143" s="134" t="s">
        <v>381</v>
      </c>
      <c r="D143" s="135">
        <v>600000</v>
      </c>
      <c r="E143" s="134" t="s">
        <v>391</v>
      </c>
      <c r="F143" s="134">
        <v>62</v>
      </c>
      <c r="G143" s="153" t="s">
        <v>496</v>
      </c>
      <c r="H143" s="134"/>
      <c r="I143" s="134">
        <v>2</v>
      </c>
      <c r="J143" s="136"/>
      <c r="K143" s="134">
        <f>VLOOKUP(F143,Plan2!$1:$1048576,8,FALSE)</f>
        <v>32</v>
      </c>
      <c r="L143" s="136">
        <v>42830</v>
      </c>
      <c r="M143" s="134" t="s">
        <v>395</v>
      </c>
      <c r="N143" s="134">
        <v>2</v>
      </c>
      <c r="O143" s="138">
        <f t="shared" si="2"/>
        <v>64</v>
      </c>
      <c r="P143" s="167">
        <v>42872</v>
      </c>
      <c r="Q143" s="173" t="s">
        <v>610</v>
      </c>
      <c r="R143" s="134">
        <v>339030</v>
      </c>
      <c r="S143" s="134">
        <v>35</v>
      </c>
      <c r="T143" s="134" t="s">
        <v>601</v>
      </c>
      <c r="U143" s="141"/>
    </row>
    <row r="144" spans="1:21" ht="46.5" customHeight="1" x14ac:dyDescent="0.25">
      <c r="A144" s="134" t="s">
        <v>380</v>
      </c>
      <c r="B144" s="134" t="s">
        <v>23</v>
      </c>
      <c r="C144" s="134" t="s">
        <v>381</v>
      </c>
      <c r="D144" s="135">
        <v>600000</v>
      </c>
      <c r="E144" s="134" t="s">
        <v>391</v>
      </c>
      <c r="F144" s="134">
        <v>102</v>
      </c>
      <c r="G144" s="153" t="s">
        <v>466</v>
      </c>
      <c r="H144" s="134"/>
      <c r="I144" s="134">
        <v>4</v>
      </c>
      <c r="J144" s="136"/>
      <c r="K144" s="134">
        <f>VLOOKUP(F144,Plan2!$1:$1048576,8,FALSE)</f>
        <v>10</v>
      </c>
      <c r="L144" s="136">
        <v>42830</v>
      </c>
      <c r="M144" s="134" t="s">
        <v>402</v>
      </c>
      <c r="N144" s="134">
        <v>4</v>
      </c>
      <c r="O144" s="138">
        <f t="shared" si="2"/>
        <v>40</v>
      </c>
      <c r="P144" s="139">
        <v>42859</v>
      </c>
      <c r="Q144" s="168" t="s">
        <v>612</v>
      </c>
      <c r="R144" s="134">
        <v>339030</v>
      </c>
      <c r="S144" s="134">
        <v>35</v>
      </c>
      <c r="T144" s="134" t="s">
        <v>601</v>
      </c>
      <c r="U144" s="141"/>
    </row>
    <row r="145" spans="1:21" ht="46.5" customHeight="1" x14ac:dyDescent="0.25">
      <c r="A145" s="134" t="s">
        <v>380</v>
      </c>
      <c r="B145" s="134" t="s">
        <v>23</v>
      </c>
      <c r="C145" s="134" t="s">
        <v>381</v>
      </c>
      <c r="D145" s="135">
        <v>180000</v>
      </c>
      <c r="E145" s="134" t="s">
        <v>18</v>
      </c>
      <c r="F145" s="134">
        <v>3</v>
      </c>
      <c r="G145" s="153" t="s">
        <v>489</v>
      </c>
      <c r="H145" s="134"/>
      <c r="I145" s="134">
        <v>1</v>
      </c>
      <c r="J145" s="136"/>
      <c r="K145" s="137">
        <f>VLOOKUP(F145,Plan2!$1:$1048576,8,FALSE)</f>
        <v>88</v>
      </c>
      <c r="L145" s="136">
        <v>42759</v>
      </c>
      <c r="M145" s="134" t="s">
        <v>410</v>
      </c>
      <c r="N145" s="134">
        <v>1</v>
      </c>
      <c r="O145" s="138">
        <f t="shared" si="2"/>
        <v>88</v>
      </c>
      <c r="P145" s="169">
        <v>42844</v>
      </c>
      <c r="Q145" s="168" t="s">
        <v>604</v>
      </c>
      <c r="R145" s="134"/>
      <c r="S145" s="134">
        <v>35</v>
      </c>
      <c r="T145" s="134" t="s">
        <v>601</v>
      </c>
      <c r="U145" s="141"/>
    </row>
    <row r="146" spans="1:21" ht="46.5" customHeight="1" x14ac:dyDescent="0.25">
      <c r="A146" s="134" t="s">
        <v>380</v>
      </c>
      <c r="B146" s="134" t="s">
        <v>23</v>
      </c>
      <c r="C146" s="134" t="s">
        <v>381</v>
      </c>
      <c r="D146" s="135">
        <v>180000</v>
      </c>
      <c r="E146" s="134" t="s">
        <v>18</v>
      </c>
      <c r="F146" s="134">
        <v>25</v>
      </c>
      <c r="G146" s="153" t="s">
        <v>513</v>
      </c>
      <c r="H146" s="134"/>
      <c r="I146" s="134">
        <v>10</v>
      </c>
      <c r="J146" s="136"/>
      <c r="K146" s="137">
        <f>VLOOKUP(F146,Plan2!$1:$1048576,8,FALSE)</f>
        <v>5.42</v>
      </c>
      <c r="L146" s="136">
        <v>42759</v>
      </c>
      <c r="M146" s="134" t="s">
        <v>409</v>
      </c>
      <c r="N146" s="134">
        <v>10</v>
      </c>
      <c r="O146" s="138">
        <f t="shared" si="2"/>
        <v>54.2</v>
      </c>
      <c r="P146" s="169">
        <v>42838</v>
      </c>
      <c r="Q146" s="168" t="s">
        <v>603</v>
      </c>
      <c r="R146" s="134">
        <v>339030</v>
      </c>
      <c r="S146" s="134">
        <v>35</v>
      </c>
      <c r="T146" s="134" t="s">
        <v>601</v>
      </c>
      <c r="U146" s="141"/>
    </row>
    <row r="147" spans="1:21" ht="46.5" customHeight="1" x14ac:dyDescent="0.25">
      <c r="A147" s="134" t="s">
        <v>380</v>
      </c>
      <c r="B147" s="134" t="s">
        <v>23</v>
      </c>
      <c r="C147" s="134" t="s">
        <v>381</v>
      </c>
      <c r="D147" s="135">
        <v>180000</v>
      </c>
      <c r="E147" s="134" t="s">
        <v>18</v>
      </c>
      <c r="F147" s="134">
        <v>33</v>
      </c>
      <c r="G147" s="153" t="s">
        <v>514</v>
      </c>
      <c r="H147" s="134"/>
      <c r="I147" s="134">
        <v>10</v>
      </c>
      <c r="J147" s="136"/>
      <c r="K147" s="137">
        <f>VLOOKUP(F147,Plan2!$1:$1048576,8,FALSE)</f>
        <v>18.95</v>
      </c>
      <c r="L147" s="136">
        <v>42759</v>
      </c>
      <c r="M147" s="134" t="s">
        <v>409</v>
      </c>
      <c r="N147" s="134">
        <v>10</v>
      </c>
      <c r="O147" s="138">
        <f t="shared" si="2"/>
        <v>189.5</v>
      </c>
      <c r="P147" s="169">
        <v>42838</v>
      </c>
      <c r="Q147" s="168" t="s">
        <v>603</v>
      </c>
      <c r="R147" s="134">
        <v>339030</v>
      </c>
      <c r="S147" s="134">
        <v>35</v>
      </c>
      <c r="T147" s="134" t="s">
        <v>601</v>
      </c>
      <c r="U147" s="141"/>
    </row>
    <row r="148" spans="1:21" ht="46.5" customHeight="1" x14ac:dyDescent="0.25">
      <c r="A148" s="134" t="s">
        <v>380</v>
      </c>
      <c r="B148" s="134" t="s">
        <v>23</v>
      </c>
      <c r="C148" s="134" t="s">
        <v>381</v>
      </c>
      <c r="D148" s="135">
        <v>180000</v>
      </c>
      <c r="E148" s="134" t="s">
        <v>18</v>
      </c>
      <c r="F148" s="134">
        <v>45</v>
      </c>
      <c r="G148" s="153" t="s">
        <v>515</v>
      </c>
      <c r="H148" s="134"/>
      <c r="I148" s="134">
        <v>10</v>
      </c>
      <c r="J148" s="136"/>
      <c r="K148" s="137">
        <f>VLOOKUP(F148,Plan2!$1:$1048576,8,FALSE)</f>
        <v>0.79</v>
      </c>
      <c r="L148" s="136">
        <v>42759</v>
      </c>
      <c r="M148" s="134" t="s">
        <v>409</v>
      </c>
      <c r="N148" s="134">
        <v>5</v>
      </c>
      <c r="O148" s="138">
        <f t="shared" si="2"/>
        <v>3.95</v>
      </c>
      <c r="P148" s="169">
        <v>42838</v>
      </c>
      <c r="Q148" s="168" t="s">
        <v>603</v>
      </c>
      <c r="R148" s="134">
        <v>339030</v>
      </c>
      <c r="S148" s="134">
        <v>35</v>
      </c>
      <c r="T148" s="134" t="s">
        <v>614</v>
      </c>
      <c r="U148" s="141"/>
    </row>
    <row r="149" spans="1:21" ht="46.5" customHeight="1" x14ac:dyDescent="0.25">
      <c r="A149" s="134" t="s">
        <v>380</v>
      </c>
      <c r="B149" s="134" t="s">
        <v>23</v>
      </c>
      <c r="C149" s="134" t="s">
        <v>381</v>
      </c>
      <c r="D149" s="135">
        <v>180000</v>
      </c>
      <c r="E149" s="134" t="s">
        <v>18</v>
      </c>
      <c r="F149" s="134">
        <v>64</v>
      </c>
      <c r="G149" s="153" t="s">
        <v>495</v>
      </c>
      <c r="H149" s="134"/>
      <c r="I149" s="134">
        <v>1</v>
      </c>
      <c r="J149" s="136"/>
      <c r="K149" s="137">
        <f>VLOOKUP(F149,Plan2!$1:$1048576,8,FALSE)</f>
        <v>319</v>
      </c>
      <c r="L149" s="136">
        <v>42759</v>
      </c>
      <c r="M149" s="134" t="s">
        <v>409</v>
      </c>
      <c r="N149" s="134">
        <v>1</v>
      </c>
      <c r="O149" s="138">
        <f t="shared" si="2"/>
        <v>319</v>
      </c>
      <c r="P149" s="169">
        <v>42838</v>
      </c>
      <c r="Q149" s="168" t="s">
        <v>603</v>
      </c>
      <c r="R149" s="134">
        <v>339030</v>
      </c>
      <c r="S149" s="134">
        <v>35</v>
      </c>
      <c r="T149" s="134" t="s">
        <v>601</v>
      </c>
      <c r="U149" s="141"/>
    </row>
    <row r="150" spans="1:21" ht="46.5" customHeight="1" x14ac:dyDescent="0.25">
      <c r="A150" s="134" t="s">
        <v>380</v>
      </c>
      <c r="B150" s="134" t="s">
        <v>23</v>
      </c>
      <c r="C150" s="134" t="s">
        <v>381</v>
      </c>
      <c r="D150" s="135">
        <v>180000</v>
      </c>
      <c r="E150" s="134" t="s">
        <v>18</v>
      </c>
      <c r="F150" s="134">
        <v>61</v>
      </c>
      <c r="G150" s="153" t="s">
        <v>516</v>
      </c>
      <c r="H150" s="134"/>
      <c r="I150" s="134">
        <v>10</v>
      </c>
      <c r="J150" s="136"/>
      <c r="K150" s="137">
        <f>VLOOKUP(F150,Plan2!$1:$1048576,8,FALSE)</f>
        <v>23.2</v>
      </c>
      <c r="L150" s="136">
        <v>42759</v>
      </c>
      <c r="M150" s="134" t="s">
        <v>409</v>
      </c>
      <c r="N150" s="134">
        <v>10</v>
      </c>
      <c r="O150" s="138">
        <f t="shared" si="2"/>
        <v>232</v>
      </c>
      <c r="P150" s="169">
        <v>42838</v>
      </c>
      <c r="Q150" s="168" t="s">
        <v>603</v>
      </c>
      <c r="R150" s="134">
        <v>339030</v>
      </c>
      <c r="S150" s="134">
        <v>35</v>
      </c>
      <c r="T150" s="134" t="s">
        <v>601</v>
      </c>
      <c r="U150" s="141"/>
    </row>
    <row r="151" spans="1:21" ht="46.5" customHeight="1" x14ac:dyDescent="0.25">
      <c r="A151" s="134" t="s">
        <v>380</v>
      </c>
      <c r="B151" s="134" t="s">
        <v>23</v>
      </c>
      <c r="C151" s="134" t="s">
        <v>381</v>
      </c>
      <c r="D151" s="135">
        <v>180000</v>
      </c>
      <c r="E151" s="134" t="s">
        <v>18</v>
      </c>
      <c r="F151" s="134">
        <v>71</v>
      </c>
      <c r="G151" s="153" t="s">
        <v>517</v>
      </c>
      <c r="H151" s="134"/>
      <c r="I151" s="134">
        <v>10</v>
      </c>
      <c r="J151" s="136"/>
      <c r="K151" s="137">
        <f>VLOOKUP(F151,Plan2!$1:$1048576,8,FALSE)</f>
        <v>4.95</v>
      </c>
      <c r="L151" s="136">
        <v>42739</v>
      </c>
      <c r="M151" s="134" t="s">
        <v>409</v>
      </c>
      <c r="N151" s="134">
        <v>3</v>
      </c>
      <c r="O151" s="138">
        <f t="shared" si="2"/>
        <v>14.850000000000001</v>
      </c>
      <c r="P151" s="169">
        <v>42838</v>
      </c>
      <c r="Q151" s="168" t="s">
        <v>603</v>
      </c>
      <c r="R151" s="134">
        <v>339030</v>
      </c>
      <c r="S151" s="134">
        <v>35</v>
      </c>
      <c r="T151" s="134" t="s">
        <v>614</v>
      </c>
      <c r="U151" s="141"/>
    </row>
    <row r="152" spans="1:21" ht="46.5" customHeight="1" x14ac:dyDescent="0.25">
      <c r="A152" s="134" t="s">
        <v>380</v>
      </c>
      <c r="B152" s="134" t="s">
        <v>23</v>
      </c>
      <c r="C152" s="134" t="s">
        <v>381</v>
      </c>
      <c r="D152" s="135">
        <v>180000</v>
      </c>
      <c r="E152" s="134" t="s">
        <v>18</v>
      </c>
      <c r="F152" s="134">
        <v>99</v>
      </c>
      <c r="G152" s="153" t="s">
        <v>467</v>
      </c>
      <c r="H152" s="134"/>
      <c r="I152" s="134">
        <v>6</v>
      </c>
      <c r="J152" s="136"/>
      <c r="K152" s="137">
        <f>VLOOKUP(F152,Plan2!$1:$1048576,8,FALSE)</f>
        <v>8.1</v>
      </c>
      <c r="L152" s="136">
        <v>42759</v>
      </c>
      <c r="M152" s="134" t="s">
        <v>409</v>
      </c>
      <c r="N152" s="134">
        <v>6</v>
      </c>
      <c r="O152" s="138">
        <f t="shared" si="2"/>
        <v>48.599999999999994</v>
      </c>
      <c r="P152" s="169">
        <v>42838</v>
      </c>
      <c r="Q152" s="168" t="s">
        <v>603</v>
      </c>
      <c r="R152" s="134">
        <v>339030</v>
      </c>
      <c r="S152" s="134">
        <v>35</v>
      </c>
      <c r="T152" s="134" t="s">
        <v>601</v>
      </c>
      <c r="U152" s="141"/>
    </row>
    <row r="153" spans="1:21" ht="46.5" customHeight="1" x14ac:dyDescent="0.25">
      <c r="A153" s="134" t="s">
        <v>380</v>
      </c>
      <c r="B153" s="134" t="s">
        <v>23</v>
      </c>
      <c r="C153" s="134" t="s">
        <v>381</v>
      </c>
      <c r="D153" s="135">
        <v>180000</v>
      </c>
      <c r="E153" s="134" t="s">
        <v>18</v>
      </c>
      <c r="F153" s="134">
        <v>110</v>
      </c>
      <c r="G153" s="153" t="s">
        <v>485</v>
      </c>
      <c r="H153" s="134"/>
      <c r="I153" s="134">
        <v>10</v>
      </c>
      <c r="J153" s="136"/>
      <c r="K153" s="137">
        <f>VLOOKUP(F153,Plan2!$1:$1048576,8,FALSE)</f>
        <v>114.99</v>
      </c>
      <c r="L153" s="136"/>
      <c r="M153" s="134"/>
      <c r="N153" s="134"/>
      <c r="O153" s="138">
        <f t="shared" si="2"/>
        <v>0</v>
      </c>
      <c r="P153" s="139"/>
      <c r="Q153" s="140"/>
      <c r="R153" s="134"/>
      <c r="S153" s="134"/>
      <c r="T153" s="134" t="s">
        <v>403</v>
      </c>
      <c r="U153" s="141"/>
    </row>
    <row r="154" spans="1:21" ht="46.5" customHeight="1" x14ac:dyDescent="0.25">
      <c r="A154" s="134" t="s">
        <v>380</v>
      </c>
      <c r="B154" s="134" t="s">
        <v>23</v>
      </c>
      <c r="C154" s="134" t="s">
        <v>381</v>
      </c>
      <c r="D154" s="135">
        <v>180000</v>
      </c>
      <c r="E154" s="134" t="s">
        <v>18</v>
      </c>
      <c r="F154" s="134">
        <v>111</v>
      </c>
      <c r="G154" s="153" t="s">
        <v>518</v>
      </c>
      <c r="H154" s="134"/>
      <c r="I154" s="134">
        <v>10</v>
      </c>
      <c r="J154" s="136"/>
      <c r="K154" s="137">
        <f>VLOOKUP(F154,Plan2!$1:$1048576,8,FALSE)</f>
        <v>17.95</v>
      </c>
      <c r="L154" s="136">
        <v>42759</v>
      </c>
      <c r="M154" s="134" t="s">
        <v>409</v>
      </c>
      <c r="N154" s="134">
        <v>10</v>
      </c>
      <c r="O154" s="138">
        <f t="shared" si="2"/>
        <v>179.5</v>
      </c>
      <c r="P154" s="169">
        <v>42838</v>
      </c>
      <c r="Q154" s="168" t="s">
        <v>603</v>
      </c>
      <c r="R154" s="134">
        <v>339030</v>
      </c>
      <c r="S154" s="134">
        <v>35</v>
      </c>
      <c r="T154" s="134" t="s">
        <v>601</v>
      </c>
      <c r="U154" s="141"/>
    </row>
    <row r="155" spans="1:21" ht="46.5" customHeight="1" x14ac:dyDescent="0.25">
      <c r="A155" s="134" t="s">
        <v>380</v>
      </c>
      <c r="B155" s="134" t="s">
        <v>23</v>
      </c>
      <c r="C155" s="134" t="s">
        <v>381</v>
      </c>
      <c r="D155" s="135">
        <v>180000</v>
      </c>
      <c r="E155" s="134" t="s">
        <v>18</v>
      </c>
      <c r="F155" s="134">
        <v>134</v>
      </c>
      <c r="G155" s="153" t="s">
        <v>519</v>
      </c>
      <c r="H155" s="134"/>
      <c r="I155" s="134">
        <v>10</v>
      </c>
      <c r="J155" s="136"/>
      <c r="K155" s="137">
        <f>VLOOKUP(F155,Plan2!$1:$1048576,8,FALSE)</f>
        <v>13.49</v>
      </c>
      <c r="L155" s="136">
        <v>42759</v>
      </c>
      <c r="M155" s="134" t="s">
        <v>409</v>
      </c>
      <c r="N155" s="134">
        <v>10</v>
      </c>
      <c r="O155" s="138">
        <f t="shared" si="2"/>
        <v>134.9</v>
      </c>
      <c r="P155" s="169">
        <v>42838</v>
      </c>
      <c r="Q155" s="168" t="s">
        <v>603</v>
      </c>
      <c r="R155" s="134">
        <v>339030</v>
      </c>
      <c r="S155" s="134">
        <v>35</v>
      </c>
      <c r="T155" s="134" t="s">
        <v>601</v>
      </c>
      <c r="U155" s="141"/>
    </row>
    <row r="156" spans="1:21" ht="46.5" customHeight="1" x14ac:dyDescent="0.25">
      <c r="A156" s="134" t="s">
        <v>380</v>
      </c>
      <c r="B156" s="134" t="s">
        <v>23</v>
      </c>
      <c r="C156" s="134" t="s">
        <v>381</v>
      </c>
      <c r="D156" s="135">
        <v>190000</v>
      </c>
      <c r="E156" s="134" t="s">
        <v>383</v>
      </c>
      <c r="F156" s="134">
        <v>101</v>
      </c>
      <c r="G156" s="153" t="s">
        <v>465</v>
      </c>
      <c r="H156" s="134"/>
      <c r="I156" s="134">
        <v>2</v>
      </c>
      <c r="J156" s="136"/>
      <c r="K156" s="138">
        <f>VLOOKUP(F156,Plan2!$1:$1048576,8,FALSE)</f>
        <v>7</v>
      </c>
      <c r="L156" s="136">
        <v>42759</v>
      </c>
      <c r="M156" s="134" t="s">
        <v>416</v>
      </c>
      <c r="N156" s="134">
        <v>2</v>
      </c>
      <c r="O156" s="138">
        <f t="shared" si="2"/>
        <v>14</v>
      </c>
      <c r="P156" s="169">
        <v>42838</v>
      </c>
      <c r="Q156" s="166" t="s">
        <v>603</v>
      </c>
      <c r="R156" s="134">
        <v>339030</v>
      </c>
      <c r="S156" s="134">
        <v>35</v>
      </c>
      <c r="T156" s="134" t="s">
        <v>601</v>
      </c>
      <c r="U156" s="141"/>
    </row>
    <row r="157" spans="1:21" ht="46.5" customHeight="1" x14ac:dyDescent="0.25">
      <c r="A157" s="134" t="s">
        <v>380</v>
      </c>
      <c r="B157" s="134" t="s">
        <v>23</v>
      </c>
      <c r="C157" s="134" t="s">
        <v>381</v>
      </c>
      <c r="D157" s="135">
        <v>190000</v>
      </c>
      <c r="E157" s="134" t="s">
        <v>383</v>
      </c>
      <c r="F157" s="134">
        <v>99</v>
      </c>
      <c r="G157" s="153" t="s">
        <v>467</v>
      </c>
      <c r="H157" s="134"/>
      <c r="I157" s="134">
        <v>3</v>
      </c>
      <c r="J157" s="136"/>
      <c r="K157" s="138">
        <f>VLOOKUP(F157,Plan2!$1:$1048576,8,FALSE)</f>
        <v>8.1</v>
      </c>
      <c r="L157" s="136">
        <v>42759</v>
      </c>
      <c r="M157" s="134" t="s">
        <v>416</v>
      </c>
      <c r="N157" s="134">
        <v>3</v>
      </c>
      <c r="O157" s="138">
        <f t="shared" si="2"/>
        <v>24.299999999999997</v>
      </c>
      <c r="P157" s="169">
        <v>42838</v>
      </c>
      <c r="Q157" s="168" t="s">
        <v>603</v>
      </c>
      <c r="R157" s="134">
        <v>339030</v>
      </c>
      <c r="S157" s="134">
        <v>35</v>
      </c>
      <c r="T157" s="134" t="s">
        <v>601</v>
      </c>
      <c r="U157" s="141"/>
    </row>
    <row r="158" spans="1:21" ht="46.5" customHeight="1" x14ac:dyDescent="0.25">
      <c r="A158" s="134" t="s">
        <v>380</v>
      </c>
      <c r="B158" s="134" t="s">
        <v>23</v>
      </c>
      <c r="C158" s="134" t="s">
        <v>381</v>
      </c>
      <c r="D158" s="135">
        <v>220400</v>
      </c>
      <c r="E158" s="134" t="s">
        <v>404</v>
      </c>
      <c r="F158" s="134">
        <v>74</v>
      </c>
      <c r="G158" s="153" t="s">
        <v>520</v>
      </c>
      <c r="H158" s="134"/>
      <c r="I158" s="134">
        <v>100</v>
      </c>
      <c r="J158" s="136"/>
      <c r="K158" s="138">
        <f>VLOOKUP(F158,Plan2!$1:$1048576,8,FALSE)</f>
        <v>9.33</v>
      </c>
      <c r="L158" s="136">
        <v>42759</v>
      </c>
      <c r="M158" s="134" t="s">
        <v>416</v>
      </c>
      <c r="N158" s="134">
        <v>54</v>
      </c>
      <c r="O158" s="138">
        <f t="shared" si="2"/>
        <v>503.82</v>
      </c>
      <c r="P158" s="169">
        <v>42838</v>
      </c>
      <c r="Q158" s="168" t="s">
        <v>603</v>
      </c>
      <c r="R158" s="134">
        <v>339030</v>
      </c>
      <c r="S158" s="134">
        <v>35</v>
      </c>
      <c r="T158" s="134" t="s">
        <v>614</v>
      </c>
      <c r="U158" s="141"/>
    </row>
    <row r="159" spans="1:21" ht="66.75" customHeight="1" x14ac:dyDescent="0.25">
      <c r="A159" s="134" t="s">
        <v>380</v>
      </c>
      <c r="B159" s="134" t="s">
        <v>23</v>
      </c>
      <c r="C159" s="134" t="s">
        <v>381</v>
      </c>
      <c r="D159" s="135">
        <v>220400</v>
      </c>
      <c r="E159" s="134" t="s">
        <v>404</v>
      </c>
      <c r="F159" s="134">
        <v>120</v>
      </c>
      <c r="G159" s="153" t="s">
        <v>453</v>
      </c>
      <c r="H159" s="134"/>
      <c r="I159" s="134">
        <v>10</v>
      </c>
      <c r="J159" s="136"/>
      <c r="K159" s="138">
        <f>VLOOKUP(F159,Plan2!$1:$1048576,8,FALSE)</f>
        <v>2.2000000000000002</v>
      </c>
      <c r="L159" s="136">
        <v>42759</v>
      </c>
      <c r="M159" s="134" t="s">
        <v>416</v>
      </c>
      <c r="N159" s="134">
        <v>10</v>
      </c>
      <c r="O159" s="138">
        <f t="shared" si="2"/>
        <v>22</v>
      </c>
      <c r="P159" s="169">
        <v>42838</v>
      </c>
      <c r="Q159" s="168" t="s">
        <v>603</v>
      </c>
      <c r="R159" s="134">
        <v>339030</v>
      </c>
      <c r="S159" s="134">
        <v>35</v>
      </c>
      <c r="T159" s="134" t="s">
        <v>601</v>
      </c>
      <c r="U159" s="141"/>
    </row>
    <row r="160" spans="1:21" ht="66.75" customHeight="1" x14ac:dyDescent="0.25">
      <c r="A160" s="134" t="s">
        <v>380</v>
      </c>
      <c r="B160" s="134" t="s">
        <v>23</v>
      </c>
      <c r="C160" s="134" t="s">
        <v>381</v>
      </c>
      <c r="D160" s="135">
        <v>220400</v>
      </c>
      <c r="E160" s="134" t="s">
        <v>404</v>
      </c>
      <c r="F160" s="134">
        <v>122</v>
      </c>
      <c r="G160" s="153" t="s">
        <v>471</v>
      </c>
      <c r="H160" s="134"/>
      <c r="I160" s="134">
        <v>10</v>
      </c>
      <c r="J160" s="136"/>
      <c r="K160" s="138">
        <f>VLOOKUP(F160,Plan2!$1:$1048576,8,FALSE)</f>
        <v>2.78</v>
      </c>
      <c r="L160" s="136">
        <v>42759</v>
      </c>
      <c r="M160" s="134" t="s">
        <v>416</v>
      </c>
      <c r="N160" s="134">
        <v>10</v>
      </c>
      <c r="O160" s="138">
        <f t="shared" si="2"/>
        <v>27.799999999999997</v>
      </c>
      <c r="P160" s="169">
        <v>42838</v>
      </c>
      <c r="Q160" s="168" t="s">
        <v>603</v>
      </c>
      <c r="R160" s="134">
        <v>339030</v>
      </c>
      <c r="S160" s="134">
        <v>35</v>
      </c>
      <c r="T160" s="134" t="s">
        <v>601</v>
      </c>
      <c r="U160" s="141"/>
    </row>
    <row r="161" spans="1:21" ht="66.75" customHeight="1" x14ac:dyDescent="0.25">
      <c r="A161" s="134" t="s">
        <v>380</v>
      </c>
      <c r="B161" s="134" t="s">
        <v>23</v>
      </c>
      <c r="C161" s="134" t="s">
        <v>381</v>
      </c>
      <c r="D161" s="135">
        <v>220400</v>
      </c>
      <c r="E161" s="134" t="s">
        <v>404</v>
      </c>
      <c r="F161" s="134">
        <v>123</v>
      </c>
      <c r="G161" s="153" t="s">
        <v>472</v>
      </c>
      <c r="H161" s="134"/>
      <c r="I161" s="134">
        <v>10</v>
      </c>
      <c r="J161" s="136"/>
      <c r="K161" s="138">
        <f>VLOOKUP(F161,Plan2!$1:$1048576,8,FALSE)</f>
        <v>3.68</v>
      </c>
      <c r="L161" s="136">
        <v>42759</v>
      </c>
      <c r="M161" s="134" t="s">
        <v>416</v>
      </c>
      <c r="N161" s="134">
        <v>10</v>
      </c>
      <c r="O161" s="138">
        <f t="shared" si="2"/>
        <v>36.800000000000004</v>
      </c>
      <c r="P161" s="169">
        <v>42838</v>
      </c>
      <c r="Q161" s="168" t="s">
        <v>603</v>
      </c>
      <c r="R161" s="134">
        <v>339030</v>
      </c>
      <c r="S161" s="134">
        <v>35</v>
      </c>
      <c r="T161" s="134" t="s">
        <v>601</v>
      </c>
      <c r="U161" s="141"/>
    </row>
    <row r="162" spans="1:21" ht="66.75" customHeight="1" x14ac:dyDescent="0.25">
      <c r="A162" s="134" t="s">
        <v>380</v>
      </c>
      <c r="B162" s="134" t="s">
        <v>23</v>
      </c>
      <c r="C162" s="134" t="s">
        <v>381</v>
      </c>
      <c r="D162" s="135">
        <v>220400</v>
      </c>
      <c r="E162" s="134" t="s">
        <v>404</v>
      </c>
      <c r="F162" s="134">
        <v>124</v>
      </c>
      <c r="G162" s="153" t="s">
        <v>454</v>
      </c>
      <c r="H162" s="134"/>
      <c r="I162" s="134">
        <v>1</v>
      </c>
      <c r="J162" s="136"/>
      <c r="K162" s="138">
        <f>VLOOKUP(F162,Plan2!$1:$1048576,8,FALSE)</f>
        <v>5.99</v>
      </c>
      <c r="L162" s="136">
        <v>42759</v>
      </c>
      <c r="M162" s="134" t="s">
        <v>416</v>
      </c>
      <c r="N162" s="134">
        <v>1</v>
      </c>
      <c r="O162" s="138">
        <f t="shared" si="2"/>
        <v>5.99</v>
      </c>
      <c r="P162" s="169">
        <v>42838</v>
      </c>
      <c r="Q162" s="168" t="s">
        <v>603</v>
      </c>
      <c r="R162" s="134">
        <v>339030</v>
      </c>
      <c r="S162" s="134">
        <v>35</v>
      </c>
      <c r="T162" s="134" t="s">
        <v>601</v>
      </c>
      <c r="U162" s="141"/>
    </row>
    <row r="163" spans="1:21" ht="66.75" customHeight="1" x14ac:dyDescent="0.25">
      <c r="A163" s="134" t="s">
        <v>380</v>
      </c>
      <c r="B163" s="134" t="s">
        <v>23</v>
      </c>
      <c r="C163" s="134" t="s">
        <v>381</v>
      </c>
      <c r="D163" s="135">
        <v>220400</v>
      </c>
      <c r="E163" s="134" t="s">
        <v>404</v>
      </c>
      <c r="F163" s="134">
        <v>125</v>
      </c>
      <c r="G163" s="153" t="s">
        <v>473</v>
      </c>
      <c r="H163" s="134"/>
      <c r="I163" s="134">
        <v>10</v>
      </c>
      <c r="J163" s="136"/>
      <c r="K163" s="138">
        <f>VLOOKUP(F163,Plan2!$1:$1048576,8,FALSE)</f>
        <v>5.2</v>
      </c>
      <c r="L163" s="136">
        <v>42759</v>
      </c>
      <c r="M163" s="134" t="s">
        <v>416</v>
      </c>
      <c r="N163" s="134">
        <v>10</v>
      </c>
      <c r="O163" s="138">
        <f t="shared" si="2"/>
        <v>52</v>
      </c>
      <c r="P163" s="169">
        <v>42838</v>
      </c>
      <c r="Q163" s="168" t="s">
        <v>603</v>
      </c>
      <c r="R163" s="134">
        <v>339030</v>
      </c>
      <c r="S163" s="134">
        <v>35</v>
      </c>
      <c r="T163" s="134" t="s">
        <v>601</v>
      </c>
      <c r="U163" s="141"/>
    </row>
    <row r="164" spans="1:21" ht="66.75" customHeight="1" x14ac:dyDescent="0.25">
      <c r="A164" s="134" t="s">
        <v>380</v>
      </c>
      <c r="B164" s="134" t="s">
        <v>23</v>
      </c>
      <c r="C164" s="134" t="s">
        <v>381</v>
      </c>
      <c r="D164" s="135">
        <v>220400</v>
      </c>
      <c r="E164" s="134" t="s">
        <v>404</v>
      </c>
      <c r="F164" s="134">
        <v>126</v>
      </c>
      <c r="G164" s="153" t="s">
        <v>507</v>
      </c>
      <c r="H164" s="134"/>
      <c r="I164" s="134">
        <v>10</v>
      </c>
      <c r="J164" s="136"/>
      <c r="K164" s="138">
        <f>VLOOKUP(F164,Plan2!$1:$1048576,8,FALSE)</f>
        <v>8.2899999999999991</v>
      </c>
      <c r="L164" s="136">
        <v>42759</v>
      </c>
      <c r="M164" s="134" t="s">
        <v>416</v>
      </c>
      <c r="N164" s="134">
        <v>10</v>
      </c>
      <c r="O164" s="138">
        <f t="shared" si="2"/>
        <v>82.899999999999991</v>
      </c>
      <c r="P164" s="169">
        <v>42838</v>
      </c>
      <c r="Q164" s="168" t="s">
        <v>603</v>
      </c>
      <c r="R164" s="134">
        <v>339030</v>
      </c>
      <c r="S164" s="134">
        <v>35</v>
      </c>
      <c r="T164" s="134" t="s">
        <v>601</v>
      </c>
      <c r="U164" s="141"/>
    </row>
    <row r="165" spans="1:21" ht="66.75" customHeight="1" x14ac:dyDescent="0.25">
      <c r="A165" s="134" t="s">
        <v>380</v>
      </c>
      <c r="B165" s="134" t="s">
        <v>23</v>
      </c>
      <c r="C165" s="134" t="s">
        <v>381</v>
      </c>
      <c r="D165" s="135">
        <v>220400</v>
      </c>
      <c r="E165" s="134" t="s">
        <v>404</v>
      </c>
      <c r="F165" s="134">
        <v>121</v>
      </c>
      <c r="G165" s="153" t="s">
        <v>470</v>
      </c>
      <c r="H165" s="134"/>
      <c r="I165" s="134">
        <v>10</v>
      </c>
      <c r="J165" s="136"/>
      <c r="K165" s="138">
        <f>VLOOKUP(F165,Plan2!$1:$1048576,8,FALSE)</f>
        <v>3.12</v>
      </c>
      <c r="L165" s="136">
        <v>42759</v>
      </c>
      <c r="M165" s="134" t="s">
        <v>413</v>
      </c>
      <c r="N165" s="134">
        <v>10</v>
      </c>
      <c r="O165" s="138">
        <f t="shared" si="2"/>
        <v>31.200000000000003</v>
      </c>
      <c r="P165" s="170">
        <v>42872</v>
      </c>
      <c r="Q165" s="172">
        <v>4648</v>
      </c>
      <c r="R165" s="134">
        <v>339030</v>
      </c>
      <c r="S165" s="134">
        <v>35</v>
      </c>
      <c r="T165" s="134" t="s">
        <v>601</v>
      </c>
      <c r="U165" s="141"/>
    </row>
    <row r="166" spans="1:21" ht="46.5" customHeight="1" x14ac:dyDescent="0.25">
      <c r="A166" s="134" t="s">
        <v>380</v>
      </c>
      <c r="B166" s="134" t="s">
        <v>23</v>
      </c>
      <c r="C166" s="134" t="s">
        <v>381</v>
      </c>
      <c r="D166" s="135">
        <v>260100</v>
      </c>
      <c r="E166" s="134" t="s">
        <v>405</v>
      </c>
      <c r="F166" s="134">
        <v>9</v>
      </c>
      <c r="G166" s="153" t="s">
        <v>521</v>
      </c>
      <c r="H166" s="134"/>
      <c r="I166" s="134">
        <v>3</v>
      </c>
      <c r="J166" s="136"/>
      <c r="K166" s="138">
        <f>VLOOKUP(F166,Plan2!$1:$1048576,8,FALSE)</f>
        <v>12</v>
      </c>
      <c r="L166" s="136">
        <v>42759</v>
      </c>
      <c r="M166" s="134" t="s">
        <v>416</v>
      </c>
      <c r="N166" s="134">
        <v>3</v>
      </c>
      <c r="O166" s="138">
        <f t="shared" si="2"/>
        <v>36</v>
      </c>
      <c r="P166" s="169">
        <v>42838</v>
      </c>
      <c r="Q166" s="168" t="s">
        <v>603</v>
      </c>
      <c r="R166" s="134">
        <v>339030</v>
      </c>
      <c r="S166" s="134">
        <v>35</v>
      </c>
      <c r="T166" s="134" t="s">
        <v>601</v>
      </c>
      <c r="U166" s="141"/>
    </row>
    <row r="167" spans="1:21" ht="46.5" customHeight="1" x14ac:dyDescent="0.25">
      <c r="A167" s="134" t="s">
        <v>380</v>
      </c>
      <c r="B167" s="134" t="s">
        <v>23</v>
      </c>
      <c r="C167" s="134" t="s">
        <v>381</v>
      </c>
      <c r="D167" s="135">
        <v>260100</v>
      </c>
      <c r="E167" s="134" t="s">
        <v>405</v>
      </c>
      <c r="F167" s="134">
        <v>29</v>
      </c>
      <c r="G167" s="153" t="s">
        <v>492</v>
      </c>
      <c r="H167" s="134"/>
      <c r="I167" s="134">
        <v>3</v>
      </c>
      <c r="J167" s="136"/>
      <c r="K167" s="138">
        <f>VLOOKUP(F167,Plan2!$1:$1048576,8,FALSE)</f>
        <v>7</v>
      </c>
      <c r="L167" s="136">
        <v>42759</v>
      </c>
      <c r="M167" s="134" t="s">
        <v>416</v>
      </c>
      <c r="N167" s="134">
        <v>3</v>
      </c>
      <c r="O167" s="138">
        <f t="shared" si="2"/>
        <v>21</v>
      </c>
      <c r="P167" s="169">
        <v>42838</v>
      </c>
      <c r="Q167" s="168" t="s">
        <v>603</v>
      </c>
      <c r="R167" s="134">
        <v>339030</v>
      </c>
      <c r="S167" s="134">
        <v>35</v>
      </c>
      <c r="T167" s="134" t="s">
        <v>601</v>
      </c>
      <c r="U167" s="141"/>
    </row>
    <row r="168" spans="1:21" ht="46.5" customHeight="1" x14ac:dyDescent="0.25">
      <c r="A168" s="134" t="s">
        <v>380</v>
      </c>
      <c r="B168" s="134" t="s">
        <v>23</v>
      </c>
      <c r="C168" s="134" t="s">
        <v>381</v>
      </c>
      <c r="D168" s="135">
        <v>260300</v>
      </c>
      <c r="E168" s="134" t="s">
        <v>406</v>
      </c>
      <c r="F168" s="134">
        <v>33</v>
      </c>
      <c r="G168" s="153" t="s">
        <v>514</v>
      </c>
      <c r="H168" s="134"/>
      <c r="I168" s="134">
        <v>1</v>
      </c>
      <c r="J168" s="136"/>
      <c r="K168" s="138">
        <f>VLOOKUP(F168,Plan2!$1:$1048576,8,FALSE)</f>
        <v>18.95</v>
      </c>
      <c r="L168" s="136">
        <v>42759</v>
      </c>
      <c r="M168" s="134" t="s">
        <v>416</v>
      </c>
      <c r="N168" s="134">
        <v>1</v>
      </c>
      <c r="O168" s="138">
        <f t="shared" si="2"/>
        <v>18.95</v>
      </c>
      <c r="P168" s="169">
        <v>42838</v>
      </c>
      <c r="Q168" s="168" t="s">
        <v>603</v>
      </c>
      <c r="R168" s="134">
        <v>339030</v>
      </c>
      <c r="S168" s="134">
        <v>35</v>
      </c>
      <c r="T168" s="134" t="s">
        <v>601</v>
      </c>
      <c r="U168" s="141"/>
    </row>
    <row r="169" spans="1:21" ht="46.5" customHeight="1" x14ac:dyDescent="0.25">
      <c r="A169" s="134" t="s">
        <v>380</v>
      </c>
      <c r="B169" s="134" t="s">
        <v>23</v>
      </c>
      <c r="C169" s="134" t="s">
        <v>381</v>
      </c>
      <c r="D169" s="135">
        <v>260300</v>
      </c>
      <c r="E169" s="134" t="s">
        <v>406</v>
      </c>
      <c r="F169" s="134">
        <v>34</v>
      </c>
      <c r="G169" s="153" t="s">
        <v>522</v>
      </c>
      <c r="H169" s="134"/>
      <c r="I169" s="134">
        <v>1</v>
      </c>
      <c r="J169" s="136"/>
      <c r="K169" s="138">
        <f>VLOOKUP(F169,Plan2!$1:$1048576,8,FALSE)</f>
        <v>22.55</v>
      </c>
      <c r="L169" s="136">
        <v>42759</v>
      </c>
      <c r="M169" s="134" t="s">
        <v>416</v>
      </c>
      <c r="N169" s="134">
        <v>1</v>
      </c>
      <c r="O169" s="138">
        <f t="shared" si="2"/>
        <v>22.55</v>
      </c>
      <c r="P169" s="169">
        <v>42838</v>
      </c>
      <c r="Q169" s="168" t="s">
        <v>603</v>
      </c>
      <c r="R169" s="134">
        <v>339030</v>
      </c>
      <c r="S169" s="134">
        <v>35</v>
      </c>
      <c r="T169" s="134" t="s">
        <v>601</v>
      </c>
      <c r="U169" s="141"/>
    </row>
    <row r="170" spans="1:21" ht="46.5" customHeight="1" x14ac:dyDescent="0.25">
      <c r="A170" s="134" t="s">
        <v>380</v>
      </c>
      <c r="B170" s="134" t="s">
        <v>23</v>
      </c>
      <c r="C170" s="134" t="s">
        <v>381</v>
      </c>
      <c r="D170" s="135">
        <v>260300</v>
      </c>
      <c r="E170" s="134" t="s">
        <v>406</v>
      </c>
      <c r="F170" s="134">
        <v>35</v>
      </c>
      <c r="G170" s="153" t="s">
        <v>523</v>
      </c>
      <c r="H170" s="134"/>
      <c r="I170" s="134">
        <v>1</v>
      </c>
      <c r="J170" s="136"/>
      <c r="K170" s="138">
        <f>VLOOKUP(F170,Plan2!$1:$1048576,8,FALSE)</f>
        <v>29.55</v>
      </c>
      <c r="L170" s="136">
        <v>42760</v>
      </c>
      <c r="M170" s="134" t="s">
        <v>415</v>
      </c>
      <c r="N170" s="134">
        <v>1</v>
      </c>
      <c r="O170" s="138">
        <f t="shared" si="2"/>
        <v>29.55</v>
      </c>
      <c r="P170" s="167">
        <v>42838</v>
      </c>
      <c r="Q170" s="168" t="s">
        <v>605</v>
      </c>
      <c r="R170" s="134">
        <v>339030</v>
      </c>
      <c r="S170" s="134">
        <v>35</v>
      </c>
      <c r="T170" s="134" t="s">
        <v>601</v>
      </c>
      <c r="U170" s="141"/>
    </row>
    <row r="171" spans="1:21" ht="46.5" customHeight="1" x14ac:dyDescent="0.25">
      <c r="A171" s="134" t="s">
        <v>380</v>
      </c>
      <c r="B171" s="134" t="s">
        <v>23</v>
      </c>
      <c r="C171" s="134" t="s">
        <v>381</v>
      </c>
      <c r="D171" s="135">
        <v>260300</v>
      </c>
      <c r="E171" s="134" t="s">
        <v>406</v>
      </c>
      <c r="F171" s="134">
        <v>37</v>
      </c>
      <c r="G171" s="153" t="s">
        <v>438</v>
      </c>
      <c r="H171" s="134"/>
      <c r="I171" s="134">
        <v>1</v>
      </c>
      <c r="J171" s="136"/>
      <c r="K171" s="138">
        <f>VLOOKUP(F171,Plan2!$1:$1048576,8,FALSE)</f>
        <v>6.88</v>
      </c>
      <c r="L171" s="136">
        <v>42759</v>
      </c>
      <c r="M171" s="134" t="s">
        <v>416</v>
      </c>
      <c r="N171" s="134">
        <v>1</v>
      </c>
      <c r="O171" s="138">
        <f>N171*K171</f>
        <v>6.88</v>
      </c>
      <c r="P171" s="169">
        <v>42838</v>
      </c>
      <c r="Q171" s="168" t="s">
        <v>603</v>
      </c>
      <c r="R171" s="134">
        <v>339030</v>
      </c>
      <c r="S171" s="134">
        <v>35</v>
      </c>
      <c r="T171" s="134" t="s">
        <v>601</v>
      </c>
      <c r="U171" s="141"/>
    </row>
    <row r="172" spans="1:21" ht="46.5" customHeight="1" x14ac:dyDescent="0.25">
      <c r="A172" s="134" t="s">
        <v>380</v>
      </c>
      <c r="B172" s="134" t="s">
        <v>23</v>
      </c>
      <c r="C172" s="134" t="s">
        <v>381</v>
      </c>
      <c r="D172" s="135">
        <v>260300</v>
      </c>
      <c r="E172" s="134" t="s">
        <v>406</v>
      </c>
      <c r="F172" s="134">
        <v>38</v>
      </c>
      <c r="G172" s="153" t="s">
        <v>439</v>
      </c>
      <c r="H172" s="134"/>
      <c r="I172" s="134">
        <v>1</v>
      </c>
      <c r="J172" s="136"/>
      <c r="K172" s="138">
        <f>VLOOKUP(F172,Plan2!$1:$1048576,8,FALSE)</f>
        <v>14.88</v>
      </c>
      <c r="L172" s="136">
        <v>42759</v>
      </c>
      <c r="M172" s="134" t="s">
        <v>416</v>
      </c>
      <c r="N172" s="134">
        <v>1</v>
      </c>
      <c r="O172" s="138">
        <f t="shared" si="2"/>
        <v>14.88</v>
      </c>
      <c r="P172" s="169">
        <v>42838</v>
      </c>
      <c r="Q172" s="168" t="s">
        <v>603</v>
      </c>
      <c r="R172" s="134">
        <v>339030</v>
      </c>
      <c r="S172" s="134">
        <v>35</v>
      </c>
      <c r="T172" s="134" t="s">
        <v>601</v>
      </c>
      <c r="U172" s="141"/>
    </row>
    <row r="173" spans="1:21" ht="46.5" customHeight="1" x14ac:dyDescent="0.25">
      <c r="A173" s="134" t="s">
        <v>380</v>
      </c>
      <c r="B173" s="134" t="s">
        <v>23</v>
      </c>
      <c r="C173" s="134" t="s">
        <v>381</v>
      </c>
      <c r="D173" s="135">
        <v>260300</v>
      </c>
      <c r="E173" s="134" t="s">
        <v>406</v>
      </c>
      <c r="F173" s="134">
        <v>40</v>
      </c>
      <c r="G173" s="153" t="s">
        <v>494</v>
      </c>
      <c r="H173" s="134"/>
      <c r="I173" s="134">
        <v>1</v>
      </c>
      <c r="J173" s="136"/>
      <c r="K173" s="138">
        <f>VLOOKUP(F173,Plan2!$1:$1048576,8,FALSE)</f>
        <v>5.07</v>
      </c>
      <c r="L173" s="136">
        <v>42759</v>
      </c>
      <c r="M173" s="134" t="s">
        <v>416</v>
      </c>
      <c r="N173" s="134">
        <v>1</v>
      </c>
      <c r="O173" s="138">
        <f t="shared" si="2"/>
        <v>5.07</v>
      </c>
      <c r="P173" s="169">
        <v>42838</v>
      </c>
      <c r="Q173" s="168" t="s">
        <v>603</v>
      </c>
      <c r="R173" s="134">
        <v>339030</v>
      </c>
      <c r="S173" s="134">
        <v>35</v>
      </c>
      <c r="T173" s="134" t="s">
        <v>601</v>
      </c>
      <c r="U173" s="141"/>
    </row>
    <row r="174" spans="1:21" ht="46.5" customHeight="1" x14ac:dyDescent="0.25">
      <c r="A174" s="134" t="s">
        <v>380</v>
      </c>
      <c r="B174" s="134" t="s">
        <v>23</v>
      </c>
      <c r="C174" s="134" t="s">
        <v>381</v>
      </c>
      <c r="D174" s="135">
        <v>260300</v>
      </c>
      <c r="E174" s="134" t="s">
        <v>406</v>
      </c>
      <c r="F174" s="134">
        <v>41</v>
      </c>
      <c r="G174" s="153" t="s">
        <v>479</v>
      </c>
      <c r="H174" s="134"/>
      <c r="I174" s="134">
        <v>1</v>
      </c>
      <c r="J174" s="136"/>
      <c r="K174" s="138">
        <f>VLOOKUP(F174,Plan2!$1:$1048576,8,FALSE)</f>
        <v>14</v>
      </c>
      <c r="L174" s="136">
        <v>42759</v>
      </c>
      <c r="M174" s="134" t="s">
        <v>416</v>
      </c>
      <c r="N174" s="134">
        <v>1</v>
      </c>
      <c r="O174" s="138">
        <f t="shared" si="2"/>
        <v>14</v>
      </c>
      <c r="P174" s="169">
        <v>42838</v>
      </c>
      <c r="Q174" s="168" t="s">
        <v>603</v>
      </c>
      <c r="R174" s="134">
        <v>339030</v>
      </c>
      <c r="S174" s="134">
        <v>35</v>
      </c>
      <c r="T174" s="134" t="s">
        <v>601</v>
      </c>
      <c r="U174" s="141"/>
    </row>
    <row r="175" spans="1:21" ht="46.5" customHeight="1" x14ac:dyDescent="0.25">
      <c r="A175" s="134" t="s">
        <v>380</v>
      </c>
      <c r="B175" s="134" t="s">
        <v>23</v>
      </c>
      <c r="C175" s="134" t="s">
        <v>381</v>
      </c>
      <c r="D175" s="135">
        <v>260300</v>
      </c>
      <c r="E175" s="134" t="s">
        <v>406</v>
      </c>
      <c r="F175" s="134">
        <v>80</v>
      </c>
      <c r="G175" s="153" t="s">
        <v>498</v>
      </c>
      <c r="H175" s="134"/>
      <c r="I175" s="134">
        <v>3</v>
      </c>
      <c r="J175" s="136"/>
      <c r="K175" s="138">
        <f>VLOOKUP(F175,Plan2!$1:$1048576,8,FALSE)</f>
        <v>10.96</v>
      </c>
      <c r="L175" s="136">
        <v>42759</v>
      </c>
      <c r="M175" s="134" t="s">
        <v>416</v>
      </c>
      <c r="N175" s="134">
        <v>3</v>
      </c>
      <c r="O175" s="138">
        <f t="shared" si="2"/>
        <v>32.880000000000003</v>
      </c>
      <c r="P175" s="169">
        <v>42838</v>
      </c>
      <c r="Q175" s="168" t="s">
        <v>603</v>
      </c>
      <c r="R175" s="134">
        <v>339030</v>
      </c>
      <c r="S175" s="134">
        <v>35</v>
      </c>
      <c r="T175" s="134" t="s">
        <v>601</v>
      </c>
      <c r="U175" s="141"/>
    </row>
    <row r="176" spans="1:21" ht="46.5" customHeight="1" x14ac:dyDescent="0.25">
      <c r="A176" s="134" t="s">
        <v>380</v>
      </c>
      <c r="B176" s="134" t="s">
        <v>23</v>
      </c>
      <c r="C176" s="134" t="s">
        <v>381</v>
      </c>
      <c r="D176" s="135">
        <v>260300</v>
      </c>
      <c r="E176" s="134" t="s">
        <v>406</v>
      </c>
      <c r="F176" s="134">
        <v>81</v>
      </c>
      <c r="G176" s="153" t="s">
        <v>443</v>
      </c>
      <c r="H176" s="134"/>
      <c r="I176" s="134">
        <v>3</v>
      </c>
      <c r="J176" s="136"/>
      <c r="K176" s="138">
        <f>VLOOKUP(F176,Plan2!$1:$1048576,8,FALSE)</f>
        <v>9.85</v>
      </c>
      <c r="L176" s="136">
        <v>42759</v>
      </c>
      <c r="M176" s="134" t="s">
        <v>416</v>
      </c>
      <c r="N176" s="134">
        <v>3</v>
      </c>
      <c r="O176" s="138">
        <f t="shared" si="2"/>
        <v>29.549999999999997</v>
      </c>
      <c r="P176" s="169">
        <v>42838</v>
      </c>
      <c r="Q176" s="168" t="s">
        <v>603</v>
      </c>
      <c r="R176" s="134">
        <v>339030</v>
      </c>
      <c r="S176" s="134">
        <v>35</v>
      </c>
      <c r="T176" s="134" t="s">
        <v>601</v>
      </c>
      <c r="U176" s="141"/>
    </row>
    <row r="177" spans="1:21" ht="46.5" customHeight="1" x14ac:dyDescent="0.25">
      <c r="A177" s="134" t="s">
        <v>380</v>
      </c>
      <c r="B177" s="134" t="s">
        <v>23</v>
      </c>
      <c r="C177" s="134" t="s">
        <v>381</v>
      </c>
      <c r="D177" s="135">
        <v>260300</v>
      </c>
      <c r="E177" s="134" t="s">
        <v>406</v>
      </c>
      <c r="F177" s="134">
        <v>85</v>
      </c>
      <c r="G177" s="153" t="s">
        <v>524</v>
      </c>
      <c r="H177" s="134"/>
      <c r="I177" s="134">
        <v>10</v>
      </c>
      <c r="J177" s="136"/>
      <c r="K177" s="138">
        <f>VLOOKUP(F177,Plan2!$1:$1048576,8,FALSE)</f>
        <v>3.93</v>
      </c>
      <c r="L177" s="136">
        <v>42759</v>
      </c>
      <c r="M177" s="134" t="s">
        <v>416</v>
      </c>
      <c r="N177" s="134">
        <v>10</v>
      </c>
      <c r="O177" s="138">
        <f t="shared" si="2"/>
        <v>39.300000000000004</v>
      </c>
      <c r="P177" s="169">
        <v>42838</v>
      </c>
      <c r="Q177" s="168" t="s">
        <v>603</v>
      </c>
      <c r="R177" s="134">
        <v>339030</v>
      </c>
      <c r="S177" s="134">
        <v>35</v>
      </c>
      <c r="T177" s="134" t="s">
        <v>601</v>
      </c>
      <c r="U177" s="141"/>
    </row>
    <row r="178" spans="1:21" ht="46.5" customHeight="1" x14ac:dyDescent="0.25">
      <c r="A178" s="134" t="s">
        <v>380</v>
      </c>
      <c r="B178" s="134" t="s">
        <v>23</v>
      </c>
      <c r="C178" s="134" t="s">
        <v>381</v>
      </c>
      <c r="D178" s="135">
        <v>260300</v>
      </c>
      <c r="E178" s="134" t="s">
        <v>406</v>
      </c>
      <c r="F178" s="134">
        <v>102</v>
      </c>
      <c r="G178" s="153" t="s">
        <v>466</v>
      </c>
      <c r="H178" s="134"/>
      <c r="I178" s="134">
        <v>1</v>
      </c>
      <c r="J178" s="136"/>
      <c r="K178" s="138">
        <f>VLOOKUP(F178,Plan2!$1:$1048576,8,FALSE)</f>
        <v>10</v>
      </c>
      <c r="L178" s="136">
        <v>42759</v>
      </c>
      <c r="M178" s="134" t="s">
        <v>416</v>
      </c>
      <c r="N178" s="134">
        <v>1</v>
      </c>
      <c r="O178" s="138">
        <f t="shared" si="2"/>
        <v>10</v>
      </c>
      <c r="P178" s="169">
        <v>42838</v>
      </c>
      <c r="Q178" s="168" t="s">
        <v>603</v>
      </c>
      <c r="R178" s="134">
        <v>339030</v>
      </c>
      <c r="S178" s="134">
        <v>35</v>
      </c>
      <c r="T178" s="134" t="s">
        <v>601</v>
      </c>
      <c r="U178" s="141"/>
    </row>
    <row r="179" spans="1:21" ht="46.5" customHeight="1" x14ac:dyDescent="0.25">
      <c r="A179" s="134" t="s">
        <v>380</v>
      </c>
      <c r="B179" s="134" t="s">
        <v>23</v>
      </c>
      <c r="C179" s="134" t="s">
        <v>381</v>
      </c>
      <c r="D179" s="135">
        <v>260300</v>
      </c>
      <c r="E179" s="134" t="s">
        <v>406</v>
      </c>
      <c r="F179" s="134">
        <v>116</v>
      </c>
      <c r="G179" s="153" t="s">
        <v>506</v>
      </c>
      <c r="H179" s="134"/>
      <c r="I179" s="134">
        <v>6</v>
      </c>
      <c r="J179" s="136"/>
      <c r="K179" s="138">
        <f>VLOOKUP(F179,Plan2!$1:$1048576,8,FALSE)</f>
        <v>4.84</v>
      </c>
      <c r="L179" s="136">
        <v>42759</v>
      </c>
      <c r="M179" s="134" t="s">
        <v>416</v>
      </c>
      <c r="N179" s="134">
        <v>6</v>
      </c>
      <c r="O179" s="138">
        <f t="shared" si="2"/>
        <v>29.04</v>
      </c>
      <c r="P179" s="169">
        <v>42838</v>
      </c>
      <c r="Q179" s="168" t="s">
        <v>603</v>
      </c>
      <c r="R179" s="134">
        <v>339030</v>
      </c>
      <c r="S179" s="134">
        <v>35</v>
      </c>
      <c r="T179" s="134" t="s">
        <v>601</v>
      </c>
      <c r="U179" s="141"/>
    </row>
    <row r="180" spans="1:21" ht="46.5" customHeight="1" x14ac:dyDescent="0.25">
      <c r="A180" s="134" t="s">
        <v>380</v>
      </c>
      <c r="B180" s="134" t="s">
        <v>23</v>
      </c>
      <c r="C180" s="134" t="s">
        <v>381</v>
      </c>
      <c r="D180" s="135">
        <f t="shared" ref="D180:E180" si="3">D168</f>
        <v>260300</v>
      </c>
      <c r="E180" s="135" t="str">
        <f t="shared" si="3"/>
        <v>DEPARTAMENTO SIVICULTURA</v>
      </c>
      <c r="F180" s="134">
        <v>119</v>
      </c>
      <c r="G180" s="153" t="s">
        <v>452</v>
      </c>
      <c r="H180" s="134"/>
      <c r="I180" s="134">
        <v>1</v>
      </c>
      <c r="J180" s="136"/>
      <c r="K180" s="134">
        <f>VLOOKUP(F180,Plan2!$1:$1048576,8,FALSE)</f>
        <v>204.99</v>
      </c>
      <c r="L180" s="136">
        <v>42759</v>
      </c>
      <c r="M180" s="134" t="s">
        <v>412</v>
      </c>
      <c r="N180" s="134">
        <v>1</v>
      </c>
      <c r="O180" s="138">
        <f t="shared" si="2"/>
        <v>204.99</v>
      </c>
      <c r="P180" s="167">
        <v>42913</v>
      </c>
      <c r="Q180" s="181" t="s">
        <v>613</v>
      </c>
      <c r="R180" s="134"/>
      <c r="S180" s="134">
        <v>35</v>
      </c>
      <c r="T180" s="134" t="s">
        <v>601</v>
      </c>
      <c r="U180" s="141"/>
    </row>
    <row r="181" spans="1:21" ht="46.5" customHeight="1" x14ac:dyDescent="0.25">
      <c r="A181" s="134" t="s">
        <v>380</v>
      </c>
      <c r="B181" s="134" t="s">
        <v>23</v>
      </c>
      <c r="C181" s="134" t="s">
        <v>381</v>
      </c>
      <c r="D181" s="135">
        <v>260300</v>
      </c>
      <c r="E181" s="134" t="s">
        <v>406</v>
      </c>
      <c r="F181" s="134">
        <v>87</v>
      </c>
      <c r="G181" s="153" t="s">
        <v>525</v>
      </c>
      <c r="H181" s="134"/>
      <c r="I181" s="134">
        <v>10</v>
      </c>
      <c r="J181" s="136"/>
      <c r="K181" s="138">
        <f>VLOOKUP(F181,Plan2!$1:$1048576,8,FALSE)</f>
        <v>7.29</v>
      </c>
      <c r="L181" s="136">
        <v>42759</v>
      </c>
      <c r="M181" s="134" t="s">
        <v>414</v>
      </c>
      <c r="N181" s="134">
        <v>10</v>
      </c>
      <c r="O181" s="138">
        <f t="shared" si="2"/>
        <v>72.900000000000006</v>
      </c>
      <c r="P181" s="177">
        <v>42894</v>
      </c>
      <c r="Q181" s="179" t="s">
        <v>602</v>
      </c>
      <c r="R181" s="134">
        <v>339030</v>
      </c>
      <c r="S181" s="134">
        <v>35</v>
      </c>
      <c r="T181" s="134" t="s">
        <v>601</v>
      </c>
      <c r="U181" s="141"/>
    </row>
    <row r="182" spans="1:21" ht="46.5" customHeight="1" x14ac:dyDescent="0.25">
      <c r="A182" s="134" t="s">
        <v>380</v>
      </c>
      <c r="B182" s="134" t="s">
        <v>23</v>
      </c>
      <c r="C182" s="134" t="s">
        <v>381</v>
      </c>
      <c r="D182" s="135">
        <v>270400</v>
      </c>
      <c r="E182" s="134" t="s">
        <v>388</v>
      </c>
      <c r="F182" s="134">
        <v>3</v>
      </c>
      <c r="G182" s="153" t="s">
        <v>489</v>
      </c>
      <c r="H182" s="134"/>
      <c r="I182" s="134">
        <v>2</v>
      </c>
      <c r="J182" s="136"/>
      <c r="K182" s="138">
        <f>VLOOKUP(F182,Plan2!$1:$1048576,8,FALSE)</f>
        <v>88</v>
      </c>
      <c r="L182" s="136">
        <v>42759</v>
      </c>
      <c r="M182" s="134" t="s">
        <v>411</v>
      </c>
      <c r="N182" s="134">
        <v>2</v>
      </c>
      <c r="O182" s="138">
        <f t="shared" si="2"/>
        <v>176</v>
      </c>
      <c r="P182" s="170">
        <v>42858</v>
      </c>
      <c r="Q182" s="172">
        <v>1096</v>
      </c>
      <c r="R182" s="134">
        <v>339030</v>
      </c>
      <c r="S182" s="134">
        <v>35</v>
      </c>
      <c r="T182" s="134" t="s">
        <v>601</v>
      </c>
      <c r="U182" s="141"/>
    </row>
    <row r="183" spans="1:21" ht="46.5" customHeight="1" x14ac:dyDescent="0.25">
      <c r="A183" s="134" t="s">
        <v>380</v>
      </c>
      <c r="B183" s="134" t="s">
        <v>23</v>
      </c>
      <c r="C183" s="134" t="s">
        <v>381</v>
      </c>
      <c r="D183" s="135">
        <v>270400</v>
      </c>
      <c r="E183" s="134" t="s">
        <v>388</v>
      </c>
      <c r="F183" s="134">
        <v>5</v>
      </c>
      <c r="G183" s="153" t="s">
        <v>526</v>
      </c>
      <c r="H183" s="134"/>
      <c r="I183" s="134">
        <v>6</v>
      </c>
      <c r="J183" s="136"/>
      <c r="K183" s="138">
        <f>VLOOKUP(F183,Plan2!$1:$1048576,8,FALSE)</f>
        <v>11</v>
      </c>
      <c r="L183" s="136">
        <v>42759</v>
      </c>
      <c r="M183" s="134" t="s">
        <v>416</v>
      </c>
      <c r="N183" s="134">
        <v>6</v>
      </c>
      <c r="O183" s="138">
        <f t="shared" si="2"/>
        <v>66</v>
      </c>
      <c r="P183" s="169">
        <v>42838</v>
      </c>
      <c r="Q183" s="168" t="s">
        <v>603</v>
      </c>
      <c r="R183" s="134">
        <v>339030</v>
      </c>
      <c r="S183" s="134">
        <v>35</v>
      </c>
      <c r="T183" s="134" t="s">
        <v>601</v>
      </c>
      <c r="U183" s="141"/>
    </row>
    <row r="184" spans="1:21" ht="46.5" customHeight="1" x14ac:dyDescent="0.25">
      <c r="A184" s="134" t="s">
        <v>380</v>
      </c>
      <c r="B184" s="134" t="s">
        <v>23</v>
      </c>
      <c r="C184" s="134" t="s">
        <v>381</v>
      </c>
      <c r="D184" s="135">
        <v>270400</v>
      </c>
      <c r="E184" s="134" t="s">
        <v>388</v>
      </c>
      <c r="F184" s="134">
        <v>11</v>
      </c>
      <c r="G184" s="153" t="s">
        <v>490</v>
      </c>
      <c r="H184" s="134"/>
      <c r="I184" s="134">
        <v>4</v>
      </c>
      <c r="J184" s="136"/>
      <c r="K184" s="138">
        <f>VLOOKUP(F184,Plan2!$1:$1048576,8,FALSE)</f>
        <v>15.55</v>
      </c>
      <c r="L184" s="136">
        <v>42759</v>
      </c>
      <c r="M184" s="134" t="s">
        <v>416</v>
      </c>
      <c r="N184" s="134">
        <v>4</v>
      </c>
      <c r="O184" s="138">
        <f t="shared" si="2"/>
        <v>62.2</v>
      </c>
      <c r="P184" s="169">
        <v>42838</v>
      </c>
      <c r="Q184" s="168" t="s">
        <v>603</v>
      </c>
      <c r="R184" s="134">
        <v>339030</v>
      </c>
      <c r="S184" s="134">
        <v>35</v>
      </c>
      <c r="T184" s="134" t="s">
        <v>601</v>
      </c>
      <c r="U184" s="141"/>
    </row>
    <row r="185" spans="1:21" ht="46.5" customHeight="1" x14ac:dyDescent="0.25">
      <c r="A185" s="134" t="s">
        <v>380</v>
      </c>
      <c r="B185" s="134" t="s">
        <v>23</v>
      </c>
      <c r="C185" s="134" t="s">
        <v>381</v>
      </c>
      <c r="D185" s="135">
        <v>270400</v>
      </c>
      <c r="E185" s="134" t="s">
        <v>388</v>
      </c>
      <c r="F185" s="134">
        <v>14</v>
      </c>
      <c r="G185" s="153" t="s">
        <v>457</v>
      </c>
      <c r="H185" s="134"/>
      <c r="I185" s="134">
        <v>8</v>
      </c>
      <c r="J185" s="136"/>
      <c r="K185" s="138">
        <f>VLOOKUP(F185,Plan2!$1:$1048576,8,FALSE)</f>
        <v>10.98</v>
      </c>
      <c r="L185" s="136">
        <v>42759</v>
      </c>
      <c r="M185" s="134" t="s">
        <v>416</v>
      </c>
      <c r="N185" s="134">
        <v>8</v>
      </c>
      <c r="O185" s="138">
        <f t="shared" si="2"/>
        <v>87.84</v>
      </c>
      <c r="P185" s="169">
        <v>42838</v>
      </c>
      <c r="Q185" s="168" t="s">
        <v>603</v>
      </c>
      <c r="R185" s="134">
        <v>339030</v>
      </c>
      <c r="S185" s="134">
        <v>35</v>
      </c>
      <c r="T185" s="134" t="s">
        <v>601</v>
      </c>
      <c r="U185" s="141"/>
    </row>
    <row r="186" spans="1:21" ht="46.5" customHeight="1" x14ac:dyDescent="0.25">
      <c r="A186" s="134" t="s">
        <v>380</v>
      </c>
      <c r="B186" s="134" t="s">
        <v>23</v>
      </c>
      <c r="C186" s="134" t="s">
        <v>381</v>
      </c>
      <c r="D186" s="135">
        <v>270400</v>
      </c>
      <c r="E186" s="134" t="s">
        <v>388</v>
      </c>
      <c r="F186" s="134">
        <v>29</v>
      </c>
      <c r="G186" s="153" t="s">
        <v>492</v>
      </c>
      <c r="H186" s="134"/>
      <c r="I186" s="134">
        <v>100</v>
      </c>
      <c r="J186" s="136"/>
      <c r="K186" s="138">
        <f>VLOOKUP(F186,Plan2!$1:$1048576,8,FALSE)</f>
        <v>7</v>
      </c>
      <c r="L186" s="136">
        <v>42759</v>
      </c>
      <c r="M186" s="134" t="s">
        <v>416</v>
      </c>
      <c r="N186" s="134">
        <v>100</v>
      </c>
      <c r="O186" s="138">
        <f t="shared" si="2"/>
        <v>700</v>
      </c>
      <c r="P186" s="169">
        <v>42838</v>
      </c>
      <c r="Q186" s="168" t="s">
        <v>603</v>
      </c>
      <c r="R186" s="134">
        <v>339030</v>
      </c>
      <c r="S186" s="134">
        <v>35</v>
      </c>
      <c r="T186" s="134" t="s">
        <v>601</v>
      </c>
      <c r="U186" s="141"/>
    </row>
    <row r="187" spans="1:21" ht="46.5" customHeight="1" x14ac:dyDescent="0.25">
      <c r="A187" s="134" t="s">
        <v>380</v>
      </c>
      <c r="B187" s="134" t="s">
        <v>23</v>
      </c>
      <c r="C187" s="134" t="s">
        <v>381</v>
      </c>
      <c r="D187" s="135">
        <v>270400</v>
      </c>
      <c r="E187" s="134" t="s">
        <v>388</v>
      </c>
      <c r="F187" s="134">
        <v>23</v>
      </c>
      <c r="G187" s="153" t="s">
        <v>527</v>
      </c>
      <c r="H187" s="134"/>
      <c r="I187" s="134">
        <v>125</v>
      </c>
      <c r="J187" s="136"/>
      <c r="K187" s="138">
        <f>VLOOKUP(F187,Plan2!$1:$1048576,8,FALSE)</f>
        <v>4.74</v>
      </c>
      <c r="L187" s="136">
        <v>42759</v>
      </c>
      <c r="M187" s="134" t="s">
        <v>416</v>
      </c>
      <c r="N187" s="134">
        <v>103</v>
      </c>
      <c r="O187" s="138">
        <f t="shared" si="2"/>
        <v>488.22</v>
      </c>
      <c r="P187" s="169">
        <v>42838</v>
      </c>
      <c r="Q187" s="168" t="s">
        <v>603</v>
      </c>
      <c r="R187" s="134">
        <v>339030</v>
      </c>
      <c r="S187" s="134">
        <v>35</v>
      </c>
      <c r="T187" s="134" t="s">
        <v>614</v>
      </c>
      <c r="U187" s="141"/>
    </row>
    <row r="188" spans="1:21" ht="46.5" customHeight="1" x14ac:dyDescent="0.25">
      <c r="A188" s="134" t="s">
        <v>380</v>
      </c>
      <c r="B188" s="134" t="s">
        <v>23</v>
      </c>
      <c r="C188" s="134" t="s">
        <v>381</v>
      </c>
      <c r="D188" s="135">
        <v>270400</v>
      </c>
      <c r="E188" s="134" t="s">
        <v>388</v>
      </c>
      <c r="F188" s="134">
        <v>25</v>
      </c>
      <c r="G188" s="153" t="s">
        <v>513</v>
      </c>
      <c r="H188" s="134"/>
      <c r="I188" s="134">
        <v>82</v>
      </c>
      <c r="J188" s="136"/>
      <c r="K188" s="138">
        <f>VLOOKUP(F188,Plan2!$1:$1048576,8,FALSE)</f>
        <v>5.42</v>
      </c>
      <c r="L188" s="136">
        <v>42759</v>
      </c>
      <c r="M188" s="134" t="s">
        <v>416</v>
      </c>
      <c r="N188" s="134">
        <v>46</v>
      </c>
      <c r="O188" s="138">
        <f t="shared" si="2"/>
        <v>249.32</v>
      </c>
      <c r="P188" s="169">
        <v>42838</v>
      </c>
      <c r="Q188" s="168" t="s">
        <v>603</v>
      </c>
      <c r="R188" s="134">
        <v>339030</v>
      </c>
      <c r="S188" s="134">
        <v>35</v>
      </c>
      <c r="T188" s="134" t="s">
        <v>614</v>
      </c>
      <c r="U188" s="141"/>
    </row>
    <row r="189" spans="1:21" ht="46.5" customHeight="1" x14ac:dyDescent="0.25">
      <c r="A189" s="134" t="s">
        <v>380</v>
      </c>
      <c r="B189" s="134" t="s">
        <v>23</v>
      </c>
      <c r="C189" s="134" t="s">
        <v>381</v>
      </c>
      <c r="D189" s="135">
        <v>270400</v>
      </c>
      <c r="E189" s="134" t="s">
        <v>388</v>
      </c>
      <c r="F189" s="134">
        <v>27</v>
      </c>
      <c r="G189" s="153" t="s">
        <v>528</v>
      </c>
      <c r="H189" s="134"/>
      <c r="I189" s="134">
        <v>122</v>
      </c>
      <c r="J189" s="136"/>
      <c r="K189" s="138">
        <f>VLOOKUP(F189,Plan2!$1:$1048576,8,FALSE)</f>
        <v>10.199999999999999</v>
      </c>
      <c r="L189" s="136">
        <v>42759</v>
      </c>
      <c r="M189" s="134" t="s">
        <v>416</v>
      </c>
      <c r="N189" s="134">
        <v>119</v>
      </c>
      <c r="O189" s="138">
        <f t="shared" si="2"/>
        <v>1213.8</v>
      </c>
      <c r="P189" s="169">
        <v>42838</v>
      </c>
      <c r="Q189" s="168" t="s">
        <v>603</v>
      </c>
      <c r="R189" s="134">
        <v>339030</v>
      </c>
      <c r="S189" s="134">
        <v>35</v>
      </c>
      <c r="T189" s="134" t="s">
        <v>601</v>
      </c>
      <c r="U189" s="141"/>
    </row>
    <row r="190" spans="1:21" ht="46.5" customHeight="1" x14ac:dyDescent="0.25">
      <c r="A190" s="134" t="s">
        <v>380</v>
      </c>
      <c r="B190" s="134" t="s">
        <v>23</v>
      </c>
      <c r="C190" s="134" t="s">
        <v>381</v>
      </c>
      <c r="D190" s="135">
        <v>270400</v>
      </c>
      <c r="E190" s="134" t="s">
        <v>388</v>
      </c>
      <c r="F190" s="134">
        <v>30</v>
      </c>
      <c r="G190" s="153" t="s">
        <v>461</v>
      </c>
      <c r="H190" s="134"/>
      <c r="I190" s="134">
        <v>30</v>
      </c>
      <c r="J190" s="136"/>
      <c r="K190" s="138">
        <f>VLOOKUP(F190,Plan2!$1:$1048576,8,FALSE)</f>
        <v>13.98</v>
      </c>
      <c r="L190" s="136">
        <v>42759</v>
      </c>
      <c r="M190" s="134" t="s">
        <v>416</v>
      </c>
      <c r="N190" s="134">
        <v>30</v>
      </c>
      <c r="O190" s="138">
        <f t="shared" si="2"/>
        <v>419.40000000000003</v>
      </c>
      <c r="P190" s="169">
        <v>42838</v>
      </c>
      <c r="Q190" s="168" t="s">
        <v>603</v>
      </c>
      <c r="R190" s="134">
        <v>339030</v>
      </c>
      <c r="S190" s="134">
        <v>35</v>
      </c>
      <c r="T190" s="134" t="s">
        <v>601</v>
      </c>
      <c r="U190" s="141"/>
    </row>
    <row r="191" spans="1:21" ht="46.5" customHeight="1" x14ac:dyDescent="0.25">
      <c r="A191" s="134" t="s">
        <v>380</v>
      </c>
      <c r="B191" s="134" t="s">
        <v>23</v>
      </c>
      <c r="C191" s="134" t="s">
        <v>381</v>
      </c>
      <c r="D191" s="135">
        <v>270400</v>
      </c>
      <c r="E191" s="134" t="s">
        <v>388</v>
      </c>
      <c r="F191" s="134">
        <v>33</v>
      </c>
      <c r="G191" s="153" t="s">
        <v>514</v>
      </c>
      <c r="H191" s="134"/>
      <c r="I191" s="134">
        <v>72</v>
      </c>
      <c r="J191" s="136"/>
      <c r="K191" s="138">
        <f>VLOOKUP(F191,Plan2!$1:$1048576,8,FALSE)</f>
        <v>18.95</v>
      </c>
      <c r="L191" s="136">
        <v>42759</v>
      </c>
      <c r="M191" s="134" t="s">
        <v>416</v>
      </c>
      <c r="N191" s="134">
        <v>41</v>
      </c>
      <c r="O191" s="138">
        <f t="shared" si="2"/>
        <v>776.94999999999993</v>
      </c>
      <c r="P191" s="169">
        <v>42838</v>
      </c>
      <c r="Q191" s="168" t="s">
        <v>603</v>
      </c>
      <c r="R191" s="134">
        <v>339030</v>
      </c>
      <c r="S191" s="134">
        <v>35</v>
      </c>
      <c r="T191" s="134" t="s">
        <v>614</v>
      </c>
      <c r="U191" s="141"/>
    </row>
    <row r="192" spans="1:21" ht="46.5" customHeight="1" x14ac:dyDescent="0.25">
      <c r="A192" s="134" t="s">
        <v>380</v>
      </c>
      <c r="B192" s="134" t="s">
        <v>23</v>
      </c>
      <c r="C192" s="134" t="s">
        <v>381</v>
      </c>
      <c r="D192" s="135">
        <v>270400</v>
      </c>
      <c r="E192" s="134" t="s">
        <v>388</v>
      </c>
      <c r="F192" s="134">
        <v>34</v>
      </c>
      <c r="G192" s="153" t="s">
        <v>522</v>
      </c>
      <c r="H192" s="134"/>
      <c r="I192" s="134">
        <v>45</v>
      </c>
      <c r="J192" s="136"/>
      <c r="K192" s="138">
        <f>VLOOKUP(F192,Plan2!$1:$1048576,8,FALSE)</f>
        <v>22.55</v>
      </c>
      <c r="L192" s="136">
        <v>42759</v>
      </c>
      <c r="M192" s="134" t="s">
        <v>416</v>
      </c>
      <c r="N192" s="134">
        <v>45</v>
      </c>
      <c r="O192" s="138">
        <f t="shared" si="2"/>
        <v>1014.75</v>
      </c>
      <c r="P192" s="169">
        <v>42838</v>
      </c>
      <c r="Q192" s="168" t="s">
        <v>603</v>
      </c>
      <c r="R192" s="134">
        <v>339030</v>
      </c>
      <c r="S192" s="134">
        <v>35</v>
      </c>
      <c r="T192" s="134" t="s">
        <v>601</v>
      </c>
      <c r="U192" s="141"/>
    </row>
    <row r="193" spans="1:21" s="99" customFormat="1" ht="46.5" customHeight="1" x14ac:dyDescent="0.25">
      <c r="A193" s="134" t="s">
        <v>380</v>
      </c>
      <c r="B193" s="134" t="s">
        <v>23</v>
      </c>
      <c r="C193" s="134" t="s">
        <v>381</v>
      </c>
      <c r="D193" s="135">
        <v>270400</v>
      </c>
      <c r="E193" s="134" t="s">
        <v>388</v>
      </c>
      <c r="F193" s="134">
        <v>35</v>
      </c>
      <c r="G193" s="153" t="s">
        <v>523</v>
      </c>
      <c r="H193" s="134"/>
      <c r="I193" s="134">
        <v>62</v>
      </c>
      <c r="J193" s="136"/>
      <c r="K193" s="138">
        <f>VLOOKUP(F193,Plan2!$1:$1048576,8,FALSE)</f>
        <v>29.55</v>
      </c>
      <c r="L193" s="136">
        <v>42760</v>
      </c>
      <c r="M193" s="134" t="s">
        <v>415</v>
      </c>
      <c r="N193" s="134">
        <v>55</v>
      </c>
      <c r="O193" s="138">
        <f t="shared" ref="O193:O251" si="4">N193*K193</f>
        <v>1625.25</v>
      </c>
      <c r="P193" s="167">
        <v>42838</v>
      </c>
      <c r="Q193" s="168" t="s">
        <v>605</v>
      </c>
      <c r="R193" s="134">
        <v>339030</v>
      </c>
      <c r="S193" s="134">
        <v>35</v>
      </c>
      <c r="T193" s="134" t="s">
        <v>606</v>
      </c>
      <c r="U193" s="141"/>
    </row>
    <row r="194" spans="1:21" ht="46.5" customHeight="1" x14ac:dyDescent="0.25">
      <c r="A194" s="134" t="s">
        <v>380</v>
      </c>
      <c r="B194" s="134" t="s">
        <v>23</v>
      </c>
      <c r="C194" s="134" t="s">
        <v>381</v>
      </c>
      <c r="D194" s="135">
        <v>270400</v>
      </c>
      <c r="E194" s="134" t="s">
        <v>388</v>
      </c>
      <c r="F194" s="134">
        <v>37</v>
      </c>
      <c r="G194" s="153" t="s">
        <v>438</v>
      </c>
      <c r="H194" s="134"/>
      <c r="I194" s="134">
        <v>34</v>
      </c>
      <c r="J194" s="136"/>
      <c r="K194" s="138">
        <f>VLOOKUP(F194,Plan2!$1:$1048576,8,FALSE)</f>
        <v>6.88</v>
      </c>
      <c r="L194" s="136">
        <v>42759</v>
      </c>
      <c r="M194" s="134" t="s">
        <v>416</v>
      </c>
      <c r="N194" s="134">
        <v>34</v>
      </c>
      <c r="O194" s="138">
        <f>N194*K194</f>
        <v>233.92</v>
      </c>
      <c r="P194" s="169">
        <v>42838</v>
      </c>
      <c r="Q194" s="168" t="s">
        <v>603</v>
      </c>
      <c r="R194" s="134">
        <v>339030</v>
      </c>
      <c r="S194" s="134">
        <v>35</v>
      </c>
      <c r="T194" s="134" t="s">
        <v>601</v>
      </c>
      <c r="U194" s="141"/>
    </row>
    <row r="195" spans="1:21" ht="46.5" customHeight="1" x14ac:dyDescent="0.25">
      <c r="A195" s="134" t="s">
        <v>380</v>
      </c>
      <c r="B195" s="134" t="s">
        <v>23</v>
      </c>
      <c r="C195" s="134" t="s">
        <v>381</v>
      </c>
      <c r="D195" s="135">
        <v>270400</v>
      </c>
      <c r="E195" s="134" t="s">
        <v>388</v>
      </c>
      <c r="F195" s="134">
        <v>38</v>
      </c>
      <c r="G195" s="153" t="s">
        <v>439</v>
      </c>
      <c r="H195" s="134"/>
      <c r="I195" s="134">
        <v>32</v>
      </c>
      <c r="J195" s="136"/>
      <c r="K195" s="138">
        <f>VLOOKUP(F195,Plan2!$1:$1048576,8,FALSE)</f>
        <v>14.88</v>
      </c>
      <c r="L195" s="136">
        <v>42759</v>
      </c>
      <c r="M195" s="134" t="s">
        <v>416</v>
      </c>
      <c r="N195" s="134">
        <v>32</v>
      </c>
      <c r="O195" s="138">
        <f t="shared" ref="O195:O215" si="5">N195*K195</f>
        <v>476.16</v>
      </c>
      <c r="P195" s="169">
        <v>42838</v>
      </c>
      <c r="Q195" s="168" t="s">
        <v>603</v>
      </c>
      <c r="R195" s="134">
        <v>339030</v>
      </c>
      <c r="S195" s="134">
        <v>35</v>
      </c>
      <c r="T195" s="134" t="s">
        <v>601</v>
      </c>
      <c r="U195" s="141"/>
    </row>
    <row r="196" spans="1:21" ht="46.5" customHeight="1" x14ac:dyDescent="0.25">
      <c r="A196" s="134" t="s">
        <v>380</v>
      </c>
      <c r="B196" s="134" t="s">
        <v>23</v>
      </c>
      <c r="C196" s="134" t="s">
        <v>381</v>
      </c>
      <c r="D196" s="135">
        <v>270400</v>
      </c>
      <c r="E196" s="134" t="s">
        <v>388</v>
      </c>
      <c r="F196" s="134">
        <v>45</v>
      </c>
      <c r="G196" s="153" t="s">
        <v>515</v>
      </c>
      <c r="H196" s="134"/>
      <c r="I196" s="134">
        <v>60</v>
      </c>
      <c r="J196" s="136"/>
      <c r="K196" s="138">
        <f>VLOOKUP(F196,Plan2!$1:$1048576,8,FALSE)</f>
        <v>0.79</v>
      </c>
      <c r="L196" s="136">
        <v>42759</v>
      </c>
      <c r="M196" s="134" t="s">
        <v>416</v>
      </c>
      <c r="N196" s="134">
        <v>13</v>
      </c>
      <c r="O196" s="138">
        <f t="shared" si="5"/>
        <v>10.27</v>
      </c>
      <c r="P196" s="169">
        <v>42838</v>
      </c>
      <c r="Q196" s="168" t="s">
        <v>603</v>
      </c>
      <c r="R196" s="134">
        <v>339030</v>
      </c>
      <c r="S196" s="134">
        <v>35</v>
      </c>
      <c r="T196" s="134" t="s">
        <v>614</v>
      </c>
      <c r="U196" s="141"/>
    </row>
    <row r="197" spans="1:21" ht="46.5" customHeight="1" x14ac:dyDescent="0.25">
      <c r="A197" s="134" t="s">
        <v>380</v>
      </c>
      <c r="B197" s="134" t="s">
        <v>23</v>
      </c>
      <c r="C197" s="134" t="s">
        <v>381</v>
      </c>
      <c r="D197" s="135">
        <v>270400</v>
      </c>
      <c r="E197" s="134" t="s">
        <v>388</v>
      </c>
      <c r="F197" s="134">
        <v>63</v>
      </c>
      <c r="G197" s="153" t="s">
        <v>529</v>
      </c>
      <c r="H197" s="134"/>
      <c r="I197" s="134">
        <v>60</v>
      </c>
      <c r="J197" s="136"/>
      <c r="K197" s="138">
        <f>VLOOKUP(F197,Plan2!$1:$1048576,8,FALSE)</f>
        <v>27.08</v>
      </c>
      <c r="L197" s="136">
        <v>42759</v>
      </c>
      <c r="M197" s="134" t="s">
        <v>416</v>
      </c>
      <c r="N197" s="134">
        <v>24</v>
      </c>
      <c r="O197" s="138">
        <f t="shared" si="5"/>
        <v>649.91999999999996</v>
      </c>
      <c r="P197" s="169">
        <v>42838</v>
      </c>
      <c r="Q197" s="168" t="s">
        <v>603</v>
      </c>
      <c r="R197" s="134">
        <v>339030</v>
      </c>
      <c r="S197" s="134">
        <v>35</v>
      </c>
      <c r="T197" s="134" t="s">
        <v>614</v>
      </c>
      <c r="U197" s="141"/>
    </row>
    <row r="198" spans="1:21" ht="46.5" customHeight="1" x14ac:dyDescent="0.25">
      <c r="A198" s="134" t="s">
        <v>380</v>
      </c>
      <c r="B198" s="134" t="s">
        <v>23</v>
      </c>
      <c r="C198" s="134" t="s">
        <v>381</v>
      </c>
      <c r="D198" s="135">
        <v>270400</v>
      </c>
      <c r="E198" s="134" t="s">
        <v>388</v>
      </c>
      <c r="F198" s="134">
        <v>61</v>
      </c>
      <c r="G198" s="153" t="s">
        <v>516</v>
      </c>
      <c r="H198" s="134"/>
      <c r="I198" s="134">
        <v>71</v>
      </c>
      <c r="J198" s="136"/>
      <c r="K198" s="138">
        <f>VLOOKUP(F198,Plan2!$1:$1048576,8,FALSE)</f>
        <v>23.2</v>
      </c>
      <c r="L198" s="136">
        <v>42759</v>
      </c>
      <c r="M198" s="134" t="s">
        <v>416</v>
      </c>
      <c r="N198" s="134">
        <v>43</v>
      </c>
      <c r="O198" s="138">
        <f t="shared" si="5"/>
        <v>997.6</v>
      </c>
      <c r="P198" s="169">
        <v>42838</v>
      </c>
      <c r="Q198" s="168" t="s">
        <v>603</v>
      </c>
      <c r="R198" s="134">
        <v>339030</v>
      </c>
      <c r="S198" s="134">
        <v>35</v>
      </c>
      <c r="T198" s="134" t="s">
        <v>614</v>
      </c>
      <c r="U198" s="141"/>
    </row>
    <row r="199" spans="1:21" ht="46.5" customHeight="1" x14ac:dyDescent="0.25">
      <c r="A199" s="134" t="s">
        <v>380</v>
      </c>
      <c r="B199" s="134" t="s">
        <v>23</v>
      </c>
      <c r="C199" s="134" t="s">
        <v>381</v>
      </c>
      <c r="D199" s="135">
        <v>270400</v>
      </c>
      <c r="E199" s="134" t="s">
        <v>388</v>
      </c>
      <c r="F199" s="134">
        <v>71</v>
      </c>
      <c r="G199" s="153" t="s">
        <v>517</v>
      </c>
      <c r="H199" s="134"/>
      <c r="I199" s="134">
        <v>168</v>
      </c>
      <c r="J199" s="136"/>
      <c r="K199" s="138">
        <f>VLOOKUP(F199,Plan2!$1:$1048576,8,FALSE)</f>
        <v>4.95</v>
      </c>
      <c r="L199" s="136">
        <v>42759</v>
      </c>
      <c r="M199" s="134" t="s">
        <v>416</v>
      </c>
      <c r="N199" s="134">
        <v>5</v>
      </c>
      <c r="O199" s="138">
        <f t="shared" si="5"/>
        <v>24.75</v>
      </c>
      <c r="P199" s="169">
        <v>42838</v>
      </c>
      <c r="Q199" s="168" t="s">
        <v>603</v>
      </c>
      <c r="R199" s="134">
        <v>339030</v>
      </c>
      <c r="S199" s="134">
        <v>35</v>
      </c>
      <c r="T199" s="134" t="s">
        <v>614</v>
      </c>
      <c r="U199" s="141"/>
    </row>
    <row r="200" spans="1:21" ht="46.5" customHeight="1" x14ac:dyDescent="0.25">
      <c r="A200" s="134" t="s">
        <v>380</v>
      </c>
      <c r="B200" s="134" t="s">
        <v>23</v>
      </c>
      <c r="C200" s="134" t="s">
        <v>381</v>
      </c>
      <c r="D200" s="135">
        <v>270400</v>
      </c>
      <c r="E200" s="134" t="s">
        <v>388</v>
      </c>
      <c r="F200" s="134">
        <v>80</v>
      </c>
      <c r="G200" s="153" t="s">
        <v>498</v>
      </c>
      <c r="H200" s="134"/>
      <c r="I200" s="134">
        <v>10</v>
      </c>
      <c r="J200" s="136"/>
      <c r="K200" s="138">
        <f>VLOOKUP(F200,Plan2!$1:$1048576,8,FALSE)</f>
        <v>10.96</v>
      </c>
      <c r="L200" s="136">
        <v>42759</v>
      </c>
      <c r="M200" s="134" t="s">
        <v>416</v>
      </c>
      <c r="N200" s="134">
        <v>10</v>
      </c>
      <c r="O200" s="138">
        <f t="shared" si="5"/>
        <v>109.60000000000001</v>
      </c>
      <c r="P200" s="169">
        <v>42838</v>
      </c>
      <c r="Q200" s="168" t="s">
        <v>603</v>
      </c>
      <c r="R200" s="134">
        <v>339030</v>
      </c>
      <c r="S200" s="134">
        <v>35</v>
      </c>
      <c r="T200" s="134" t="s">
        <v>601</v>
      </c>
      <c r="U200" s="141"/>
    </row>
    <row r="201" spans="1:21" ht="46.5" customHeight="1" x14ac:dyDescent="0.25">
      <c r="A201" s="134" t="s">
        <v>380</v>
      </c>
      <c r="B201" s="134" t="s">
        <v>23</v>
      </c>
      <c r="C201" s="134" t="s">
        <v>381</v>
      </c>
      <c r="D201" s="135">
        <v>270400</v>
      </c>
      <c r="E201" s="134" t="s">
        <v>388</v>
      </c>
      <c r="F201" s="134">
        <v>85</v>
      </c>
      <c r="G201" s="153" t="s">
        <v>524</v>
      </c>
      <c r="H201" s="134"/>
      <c r="I201" s="134">
        <v>216</v>
      </c>
      <c r="J201" s="136"/>
      <c r="K201" s="138">
        <f>VLOOKUP(F201,Plan2!$1:$1048576,8,FALSE)</f>
        <v>3.93</v>
      </c>
      <c r="L201" s="136">
        <v>42759</v>
      </c>
      <c r="M201" s="134" t="s">
        <v>416</v>
      </c>
      <c r="N201" s="134">
        <v>25</v>
      </c>
      <c r="O201" s="138">
        <f t="shared" si="5"/>
        <v>98.25</v>
      </c>
      <c r="P201" s="169">
        <v>42838</v>
      </c>
      <c r="Q201" s="168" t="s">
        <v>603</v>
      </c>
      <c r="R201" s="134">
        <v>339030</v>
      </c>
      <c r="S201" s="134">
        <v>35</v>
      </c>
      <c r="T201" s="134" t="s">
        <v>614</v>
      </c>
      <c r="U201" s="141"/>
    </row>
    <row r="202" spans="1:21" ht="46.5" customHeight="1" x14ac:dyDescent="0.25">
      <c r="A202" s="134" t="s">
        <v>380</v>
      </c>
      <c r="B202" s="134" t="s">
        <v>23</v>
      </c>
      <c r="C202" s="134" t="s">
        <v>381</v>
      </c>
      <c r="D202" s="135">
        <v>270400</v>
      </c>
      <c r="E202" s="134" t="s">
        <v>388</v>
      </c>
      <c r="F202" s="134">
        <v>86</v>
      </c>
      <c r="G202" s="153" t="s">
        <v>480</v>
      </c>
      <c r="H202" s="134"/>
      <c r="I202" s="134">
        <v>20</v>
      </c>
      <c r="J202" s="136"/>
      <c r="K202" s="138">
        <f>VLOOKUP(F202,Plan2!$1:$1048576,8,FALSE)</f>
        <v>9</v>
      </c>
      <c r="L202" s="136">
        <v>42759</v>
      </c>
      <c r="M202" s="134" t="s">
        <v>416</v>
      </c>
      <c r="N202" s="134">
        <v>20</v>
      </c>
      <c r="O202" s="138">
        <f t="shared" si="5"/>
        <v>180</v>
      </c>
      <c r="P202" s="169">
        <v>42838</v>
      </c>
      <c r="Q202" s="168" t="s">
        <v>603</v>
      </c>
      <c r="R202" s="134">
        <v>339030</v>
      </c>
      <c r="S202" s="134">
        <v>35</v>
      </c>
      <c r="T202" s="134" t="s">
        <v>601</v>
      </c>
      <c r="U202" s="141"/>
    </row>
    <row r="203" spans="1:21" ht="46.5" customHeight="1" x14ac:dyDescent="0.25">
      <c r="A203" s="134" t="s">
        <v>380</v>
      </c>
      <c r="B203" s="134" t="s">
        <v>23</v>
      </c>
      <c r="C203" s="134" t="s">
        <v>381</v>
      </c>
      <c r="D203" s="135">
        <v>270400</v>
      </c>
      <c r="E203" s="134" t="s">
        <v>388</v>
      </c>
      <c r="F203" s="134">
        <v>88</v>
      </c>
      <c r="G203" s="153" t="s">
        <v>530</v>
      </c>
      <c r="H203" s="134"/>
      <c r="I203" s="134">
        <v>200</v>
      </c>
      <c r="J203" s="136"/>
      <c r="K203" s="138">
        <f>VLOOKUP(F203,Plan2!$1:$1048576,8,FALSE)</f>
        <v>4.42</v>
      </c>
      <c r="L203" s="136">
        <v>42759</v>
      </c>
      <c r="M203" s="134" t="s">
        <v>416</v>
      </c>
      <c r="N203" s="134">
        <v>46</v>
      </c>
      <c r="O203" s="138">
        <f t="shared" si="5"/>
        <v>203.32</v>
      </c>
      <c r="P203" s="169">
        <v>42838</v>
      </c>
      <c r="Q203" s="168" t="s">
        <v>603</v>
      </c>
      <c r="R203" s="134">
        <v>339030</v>
      </c>
      <c r="S203" s="134">
        <v>35</v>
      </c>
      <c r="T203" s="134" t="s">
        <v>614</v>
      </c>
      <c r="U203" s="141"/>
    </row>
    <row r="204" spans="1:21" ht="46.5" customHeight="1" x14ac:dyDescent="0.25">
      <c r="A204" s="134" t="s">
        <v>380</v>
      </c>
      <c r="B204" s="134" t="s">
        <v>23</v>
      </c>
      <c r="C204" s="134" t="s">
        <v>381</v>
      </c>
      <c r="D204" s="135">
        <v>270400</v>
      </c>
      <c r="E204" s="134" t="s">
        <v>388</v>
      </c>
      <c r="F204" s="134">
        <v>93</v>
      </c>
      <c r="G204" s="153" t="s">
        <v>531</v>
      </c>
      <c r="H204" s="134"/>
      <c r="I204" s="134">
        <v>10</v>
      </c>
      <c r="J204" s="136"/>
      <c r="K204" s="138">
        <f>VLOOKUP(F204,Plan2!$1:$1048576,8,FALSE)</f>
        <v>9.15</v>
      </c>
      <c r="L204" s="136">
        <v>42759</v>
      </c>
      <c r="M204" s="134" t="s">
        <v>416</v>
      </c>
      <c r="N204" s="134">
        <v>10</v>
      </c>
      <c r="O204" s="138">
        <f t="shared" si="5"/>
        <v>91.5</v>
      </c>
      <c r="P204" s="169">
        <v>42838</v>
      </c>
      <c r="Q204" s="168" t="s">
        <v>603</v>
      </c>
      <c r="R204" s="134">
        <v>339030</v>
      </c>
      <c r="S204" s="134">
        <v>35</v>
      </c>
      <c r="T204" s="134" t="s">
        <v>601</v>
      </c>
      <c r="U204" s="141"/>
    </row>
    <row r="205" spans="1:21" ht="46.5" customHeight="1" x14ac:dyDescent="0.25">
      <c r="A205" s="134" t="s">
        <v>380</v>
      </c>
      <c r="B205" s="134" t="s">
        <v>23</v>
      </c>
      <c r="C205" s="134" t="s">
        <v>381</v>
      </c>
      <c r="D205" s="135">
        <v>270400</v>
      </c>
      <c r="E205" s="134" t="s">
        <v>388</v>
      </c>
      <c r="F205" s="134">
        <v>54</v>
      </c>
      <c r="G205" s="153" t="s">
        <v>444</v>
      </c>
      <c r="H205" s="134"/>
      <c r="I205" s="134">
        <v>200</v>
      </c>
      <c r="J205" s="136"/>
      <c r="K205" s="138">
        <f>VLOOKUP(F205,Plan2!$1:$1048576,8,FALSE)</f>
        <v>3.99</v>
      </c>
      <c r="L205" s="136">
        <v>42759</v>
      </c>
      <c r="M205" s="134" t="s">
        <v>416</v>
      </c>
      <c r="N205" s="134">
        <v>200</v>
      </c>
      <c r="O205" s="138">
        <f t="shared" si="5"/>
        <v>798</v>
      </c>
      <c r="P205" s="169">
        <v>42838</v>
      </c>
      <c r="Q205" s="168" t="s">
        <v>603</v>
      </c>
      <c r="R205" s="134">
        <v>339030</v>
      </c>
      <c r="S205" s="134">
        <v>35</v>
      </c>
      <c r="T205" s="134" t="s">
        <v>601</v>
      </c>
      <c r="U205" s="141"/>
    </row>
    <row r="206" spans="1:21" ht="46.5" customHeight="1" x14ac:dyDescent="0.25">
      <c r="A206" s="134" t="s">
        <v>380</v>
      </c>
      <c r="B206" s="134" t="s">
        <v>23</v>
      </c>
      <c r="C206" s="134" t="s">
        <v>381</v>
      </c>
      <c r="D206" s="135">
        <v>270400</v>
      </c>
      <c r="E206" s="134" t="s">
        <v>388</v>
      </c>
      <c r="F206" s="134">
        <v>95</v>
      </c>
      <c r="G206" s="153" t="s">
        <v>482</v>
      </c>
      <c r="H206" s="134"/>
      <c r="I206" s="134">
        <v>20</v>
      </c>
      <c r="J206" s="136"/>
      <c r="K206" s="138">
        <f>VLOOKUP(F206,Plan2!$1:$1048576,8,FALSE)</f>
        <v>3.23</v>
      </c>
      <c r="L206" s="136">
        <v>42759</v>
      </c>
      <c r="M206" s="134" t="s">
        <v>416</v>
      </c>
      <c r="N206" s="134">
        <v>20</v>
      </c>
      <c r="O206" s="138">
        <f t="shared" si="5"/>
        <v>64.599999999999994</v>
      </c>
      <c r="P206" s="169">
        <v>42838</v>
      </c>
      <c r="Q206" s="168" t="s">
        <v>603</v>
      </c>
      <c r="R206" s="134">
        <v>339030</v>
      </c>
      <c r="S206" s="134">
        <v>35</v>
      </c>
      <c r="T206" s="134" t="s">
        <v>601</v>
      </c>
      <c r="U206" s="141"/>
    </row>
    <row r="207" spans="1:21" ht="46.5" customHeight="1" x14ac:dyDescent="0.25">
      <c r="A207" s="134" t="s">
        <v>380</v>
      </c>
      <c r="B207" s="134" t="s">
        <v>23</v>
      </c>
      <c r="C207" s="134" t="s">
        <v>381</v>
      </c>
      <c r="D207" s="135">
        <v>270400</v>
      </c>
      <c r="E207" s="134" t="s">
        <v>388</v>
      </c>
      <c r="F207" s="134">
        <v>55</v>
      </c>
      <c r="G207" s="153" t="s">
        <v>532</v>
      </c>
      <c r="H207" s="134"/>
      <c r="I207" s="134">
        <v>100</v>
      </c>
      <c r="J207" s="136"/>
      <c r="K207" s="138">
        <f>VLOOKUP(F207,Plan2!$1:$1048576,8,FALSE)</f>
        <v>4.2</v>
      </c>
      <c r="L207" s="136">
        <v>42759</v>
      </c>
      <c r="M207" s="134" t="s">
        <v>416</v>
      </c>
      <c r="N207" s="134">
        <v>68</v>
      </c>
      <c r="O207" s="138">
        <f t="shared" si="5"/>
        <v>285.60000000000002</v>
      </c>
      <c r="P207" s="169">
        <v>42838</v>
      </c>
      <c r="Q207" s="168" t="s">
        <v>603</v>
      </c>
      <c r="R207" s="134">
        <v>339030</v>
      </c>
      <c r="S207" s="134">
        <v>35</v>
      </c>
      <c r="T207" s="134" t="s">
        <v>614</v>
      </c>
      <c r="U207" s="141"/>
    </row>
    <row r="208" spans="1:21" ht="46.5" customHeight="1" x14ac:dyDescent="0.25">
      <c r="A208" s="134" t="s">
        <v>380</v>
      </c>
      <c r="B208" s="134" t="s">
        <v>23</v>
      </c>
      <c r="C208" s="134" t="s">
        <v>381</v>
      </c>
      <c r="D208" s="135">
        <v>270400</v>
      </c>
      <c r="E208" s="134" t="s">
        <v>388</v>
      </c>
      <c r="F208" s="134">
        <v>56</v>
      </c>
      <c r="G208" s="153" t="s">
        <v>445</v>
      </c>
      <c r="H208" s="134"/>
      <c r="I208" s="134">
        <v>20</v>
      </c>
      <c r="J208" s="136"/>
      <c r="K208" s="138">
        <f>VLOOKUP(F208,Plan2!$1:$1048576,8,FALSE)</f>
        <v>7.2</v>
      </c>
      <c r="L208" s="136">
        <v>42759</v>
      </c>
      <c r="M208" s="134" t="s">
        <v>416</v>
      </c>
      <c r="N208" s="134">
        <v>20</v>
      </c>
      <c r="O208" s="138">
        <f t="shared" si="5"/>
        <v>144</v>
      </c>
      <c r="P208" s="169">
        <v>42838</v>
      </c>
      <c r="Q208" s="168" t="s">
        <v>603</v>
      </c>
      <c r="R208" s="134">
        <v>339030</v>
      </c>
      <c r="S208" s="134">
        <v>35</v>
      </c>
      <c r="T208" s="134" t="s">
        <v>601</v>
      </c>
      <c r="U208" s="141"/>
    </row>
    <row r="209" spans="1:21" ht="46.5" customHeight="1" x14ac:dyDescent="0.25">
      <c r="A209" s="134" t="s">
        <v>380</v>
      </c>
      <c r="B209" s="134" t="s">
        <v>23</v>
      </c>
      <c r="C209" s="134" t="s">
        <v>381</v>
      </c>
      <c r="D209" s="135">
        <v>270400</v>
      </c>
      <c r="E209" s="134" t="s">
        <v>388</v>
      </c>
      <c r="F209" s="134">
        <v>57</v>
      </c>
      <c r="G209" s="153" t="s">
        <v>446</v>
      </c>
      <c r="H209" s="134"/>
      <c r="I209" s="134">
        <v>100</v>
      </c>
      <c r="J209" s="136"/>
      <c r="K209" s="138">
        <f>VLOOKUP(F209,Plan2!$1:$1048576,8,FALSE)</f>
        <v>5.09</v>
      </c>
      <c r="L209" s="136">
        <v>42759</v>
      </c>
      <c r="M209" s="134" t="s">
        <v>416</v>
      </c>
      <c r="N209" s="134">
        <v>41</v>
      </c>
      <c r="O209" s="138">
        <f t="shared" si="5"/>
        <v>208.69</v>
      </c>
      <c r="P209" s="169">
        <v>42838</v>
      </c>
      <c r="Q209" s="168" t="s">
        <v>603</v>
      </c>
      <c r="R209" s="134">
        <v>339030</v>
      </c>
      <c r="S209" s="134">
        <v>35</v>
      </c>
      <c r="T209" s="134" t="s">
        <v>614</v>
      </c>
      <c r="U209" s="141"/>
    </row>
    <row r="210" spans="1:21" ht="46.5" customHeight="1" x14ac:dyDescent="0.25">
      <c r="A210" s="134" t="s">
        <v>380</v>
      </c>
      <c r="B210" s="134" t="s">
        <v>23</v>
      </c>
      <c r="C210" s="134" t="s">
        <v>381</v>
      </c>
      <c r="D210" s="135">
        <v>270400</v>
      </c>
      <c r="E210" s="134" t="s">
        <v>388</v>
      </c>
      <c r="F210" s="134">
        <v>108</v>
      </c>
      <c r="G210" s="153" t="s">
        <v>483</v>
      </c>
      <c r="H210" s="134"/>
      <c r="I210" s="134">
        <v>20</v>
      </c>
      <c r="J210" s="136"/>
      <c r="K210" s="138">
        <f>VLOOKUP(F210,Plan2!$1:$1048576,8,FALSE)</f>
        <v>6.49</v>
      </c>
      <c r="L210" s="136">
        <v>42759</v>
      </c>
      <c r="M210" s="134" t="s">
        <v>416</v>
      </c>
      <c r="N210" s="134">
        <v>20</v>
      </c>
      <c r="O210" s="138">
        <f t="shared" si="5"/>
        <v>129.80000000000001</v>
      </c>
      <c r="P210" s="169">
        <v>42838</v>
      </c>
      <c r="Q210" s="168" t="s">
        <v>603</v>
      </c>
      <c r="R210" s="134">
        <v>339030</v>
      </c>
      <c r="S210" s="134">
        <v>35</v>
      </c>
      <c r="T210" s="134" t="s">
        <v>601</v>
      </c>
      <c r="U210" s="141"/>
    </row>
    <row r="211" spans="1:21" ht="46.5" customHeight="1" x14ac:dyDescent="0.25">
      <c r="A211" s="134" t="s">
        <v>380</v>
      </c>
      <c r="B211" s="134" t="s">
        <v>23</v>
      </c>
      <c r="C211" s="134" t="s">
        <v>381</v>
      </c>
      <c r="D211" s="135">
        <v>270400</v>
      </c>
      <c r="E211" s="134" t="s">
        <v>388</v>
      </c>
      <c r="F211" s="134">
        <v>103</v>
      </c>
      <c r="G211" s="153" t="s">
        <v>484</v>
      </c>
      <c r="H211" s="134"/>
      <c r="I211" s="134">
        <v>50</v>
      </c>
      <c r="J211" s="136"/>
      <c r="K211" s="138">
        <f>VLOOKUP(F211,Plan2!$1:$1048576,8,FALSE)</f>
        <v>4.12</v>
      </c>
      <c r="L211" s="136">
        <v>42759</v>
      </c>
      <c r="M211" s="134" t="s">
        <v>416</v>
      </c>
      <c r="N211" s="134">
        <v>50</v>
      </c>
      <c r="O211" s="138">
        <f t="shared" si="5"/>
        <v>206</v>
      </c>
      <c r="P211" s="169">
        <v>42838</v>
      </c>
      <c r="Q211" s="168" t="s">
        <v>603</v>
      </c>
      <c r="R211" s="134">
        <v>339030</v>
      </c>
      <c r="S211" s="134">
        <v>35</v>
      </c>
      <c r="T211" s="134" t="s">
        <v>601</v>
      </c>
      <c r="U211" s="141"/>
    </row>
    <row r="212" spans="1:21" ht="46.5" customHeight="1" x14ac:dyDescent="0.25">
      <c r="A212" s="134" t="s">
        <v>380</v>
      </c>
      <c r="B212" s="134" t="s">
        <v>23</v>
      </c>
      <c r="C212" s="134" t="s">
        <v>381</v>
      </c>
      <c r="D212" s="135">
        <v>270400</v>
      </c>
      <c r="E212" s="134" t="s">
        <v>388</v>
      </c>
      <c r="F212" s="134">
        <v>106</v>
      </c>
      <c r="G212" s="153" t="s">
        <v>500</v>
      </c>
      <c r="H212" s="134"/>
      <c r="I212" s="134">
        <v>66</v>
      </c>
      <c r="J212" s="136"/>
      <c r="K212" s="138">
        <f>VLOOKUP(F212,Plan2!$1:$1048576,8,FALSE)</f>
        <v>7.5</v>
      </c>
      <c r="L212" s="136">
        <v>42759</v>
      </c>
      <c r="M212" s="134" t="s">
        <v>416</v>
      </c>
      <c r="N212" s="134">
        <v>66</v>
      </c>
      <c r="O212" s="138">
        <f t="shared" si="5"/>
        <v>495</v>
      </c>
      <c r="P212" s="169">
        <v>42838</v>
      </c>
      <c r="Q212" s="168" t="s">
        <v>603</v>
      </c>
      <c r="R212" s="134">
        <v>339030</v>
      </c>
      <c r="S212" s="134">
        <v>35</v>
      </c>
      <c r="T212" s="134" t="s">
        <v>601</v>
      </c>
      <c r="U212" s="141"/>
    </row>
    <row r="213" spans="1:21" ht="46.5" customHeight="1" x14ac:dyDescent="0.25">
      <c r="A213" s="134" t="s">
        <v>380</v>
      </c>
      <c r="B213" s="134" t="s">
        <v>23</v>
      </c>
      <c r="C213" s="134" t="s">
        <v>381</v>
      </c>
      <c r="D213" s="135">
        <v>270400</v>
      </c>
      <c r="E213" s="134" t="s">
        <v>388</v>
      </c>
      <c r="F213" s="134">
        <v>104</v>
      </c>
      <c r="G213" s="153" t="s">
        <v>447</v>
      </c>
      <c r="H213" s="134"/>
      <c r="I213" s="134">
        <v>100</v>
      </c>
      <c r="J213" s="136"/>
      <c r="K213" s="138">
        <f>VLOOKUP(F213,Plan2!$1:$1048576,8,FALSE)</f>
        <v>2.15</v>
      </c>
      <c r="L213" s="136">
        <v>42759</v>
      </c>
      <c r="M213" s="134" t="s">
        <v>416</v>
      </c>
      <c r="N213" s="134">
        <v>100</v>
      </c>
      <c r="O213" s="138">
        <f t="shared" si="5"/>
        <v>215</v>
      </c>
      <c r="P213" s="169">
        <v>42838</v>
      </c>
      <c r="Q213" s="168" t="s">
        <v>603</v>
      </c>
      <c r="R213" s="134">
        <v>339030</v>
      </c>
      <c r="S213" s="134">
        <v>35</v>
      </c>
      <c r="T213" s="134" t="s">
        <v>601</v>
      </c>
      <c r="U213" s="141"/>
    </row>
    <row r="214" spans="1:21" ht="46.5" customHeight="1" x14ac:dyDescent="0.25">
      <c r="A214" s="134" t="s">
        <v>380</v>
      </c>
      <c r="B214" s="134" t="s">
        <v>23</v>
      </c>
      <c r="C214" s="134" t="s">
        <v>381</v>
      </c>
      <c r="D214" s="135">
        <v>270400</v>
      </c>
      <c r="E214" s="134" t="s">
        <v>388</v>
      </c>
      <c r="F214" s="134">
        <v>99</v>
      </c>
      <c r="G214" s="153" t="s">
        <v>467</v>
      </c>
      <c r="H214" s="134"/>
      <c r="I214" s="134">
        <v>20</v>
      </c>
      <c r="J214" s="136"/>
      <c r="K214" s="138">
        <f>VLOOKUP(F214,Plan2!$1:$1048576,8,FALSE)</f>
        <v>8.1</v>
      </c>
      <c r="L214" s="136">
        <v>42759</v>
      </c>
      <c r="M214" s="134" t="s">
        <v>416</v>
      </c>
      <c r="N214" s="134">
        <v>20</v>
      </c>
      <c r="O214" s="138">
        <f t="shared" si="5"/>
        <v>162</v>
      </c>
      <c r="P214" s="169">
        <v>42838</v>
      </c>
      <c r="Q214" s="168" t="s">
        <v>603</v>
      </c>
      <c r="R214" s="134">
        <v>339030</v>
      </c>
      <c r="S214" s="134">
        <v>35</v>
      </c>
      <c r="T214" s="134" t="s">
        <v>601</v>
      </c>
      <c r="U214" s="141"/>
    </row>
    <row r="215" spans="1:21" ht="46.5" customHeight="1" x14ac:dyDescent="0.25">
      <c r="A215" s="134" t="s">
        <v>380</v>
      </c>
      <c r="B215" s="134" t="s">
        <v>23</v>
      </c>
      <c r="C215" s="134" t="s">
        <v>381</v>
      </c>
      <c r="D215" s="135">
        <v>270400</v>
      </c>
      <c r="E215" s="134" t="s">
        <v>388</v>
      </c>
      <c r="F215" s="134">
        <v>91</v>
      </c>
      <c r="G215" s="153" t="s">
        <v>503</v>
      </c>
      <c r="H215" s="134"/>
      <c r="I215" s="134">
        <v>30</v>
      </c>
      <c r="J215" s="136"/>
      <c r="K215" s="138">
        <f>VLOOKUP(F215,Plan2!$1:$1048576,8,FALSE)</f>
        <v>4.1500000000000004</v>
      </c>
      <c r="L215" s="136">
        <v>42759</v>
      </c>
      <c r="M215" s="134" t="s">
        <v>416</v>
      </c>
      <c r="N215" s="134">
        <v>30</v>
      </c>
      <c r="O215" s="138">
        <f t="shared" si="5"/>
        <v>124.50000000000001</v>
      </c>
      <c r="P215" s="169">
        <v>42838</v>
      </c>
      <c r="Q215" s="168" t="s">
        <v>603</v>
      </c>
      <c r="R215" s="134">
        <v>339030</v>
      </c>
      <c r="S215" s="134">
        <v>35</v>
      </c>
      <c r="T215" s="134" t="s">
        <v>601</v>
      </c>
      <c r="U215" s="141"/>
    </row>
    <row r="216" spans="1:21" ht="46.5" customHeight="1" x14ac:dyDescent="0.25">
      <c r="A216" s="134" t="s">
        <v>380</v>
      </c>
      <c r="B216" s="134" t="s">
        <v>23</v>
      </c>
      <c r="C216" s="134" t="s">
        <v>381</v>
      </c>
      <c r="D216" s="135">
        <v>270400</v>
      </c>
      <c r="E216" s="134" t="s">
        <v>388</v>
      </c>
      <c r="F216" s="134">
        <v>110</v>
      </c>
      <c r="G216" s="153" t="s">
        <v>485</v>
      </c>
      <c r="H216" s="134"/>
      <c r="I216" s="134">
        <v>20</v>
      </c>
      <c r="J216" s="136"/>
      <c r="K216" s="138">
        <f>VLOOKUP(F216,Plan2!$1:$1048576,8,FALSE)</f>
        <v>114.99</v>
      </c>
      <c r="L216" s="136"/>
      <c r="M216" s="134"/>
      <c r="N216" s="134"/>
      <c r="O216" s="138">
        <f t="shared" si="4"/>
        <v>0</v>
      </c>
      <c r="P216" s="170"/>
      <c r="Q216" s="172"/>
      <c r="R216" s="134"/>
      <c r="S216" s="134"/>
      <c r="T216" s="134" t="s">
        <v>403</v>
      </c>
      <c r="U216" s="141"/>
    </row>
    <row r="217" spans="1:21" ht="46.5" customHeight="1" x14ac:dyDescent="0.25">
      <c r="A217" s="134" t="s">
        <v>380</v>
      </c>
      <c r="B217" s="134" t="s">
        <v>23</v>
      </c>
      <c r="C217" s="134" t="s">
        <v>381</v>
      </c>
      <c r="D217" s="135">
        <v>270400</v>
      </c>
      <c r="E217" s="134" t="s">
        <v>388</v>
      </c>
      <c r="F217" s="134">
        <v>111</v>
      </c>
      <c r="G217" s="153" t="s">
        <v>518</v>
      </c>
      <c r="H217" s="134"/>
      <c r="I217" s="134">
        <v>44</v>
      </c>
      <c r="J217" s="136"/>
      <c r="K217" s="138">
        <f>VLOOKUP(F217,Plan2!$1:$1048576,8,FALSE)</f>
        <v>17.95</v>
      </c>
      <c r="L217" s="136">
        <v>42759</v>
      </c>
      <c r="M217" s="134" t="s">
        <v>416</v>
      </c>
      <c r="N217" s="134">
        <v>40</v>
      </c>
      <c r="O217" s="138">
        <f t="shared" si="4"/>
        <v>718</v>
      </c>
      <c r="P217" s="169">
        <v>42838</v>
      </c>
      <c r="Q217" s="168" t="s">
        <v>603</v>
      </c>
      <c r="R217" s="134">
        <v>339030</v>
      </c>
      <c r="S217" s="134">
        <v>35</v>
      </c>
      <c r="T217" s="134" t="s">
        <v>614</v>
      </c>
      <c r="U217" s="141"/>
    </row>
    <row r="218" spans="1:21" ht="46.5" customHeight="1" x14ac:dyDescent="0.25">
      <c r="A218" s="134" t="s">
        <v>380</v>
      </c>
      <c r="B218" s="134" t="s">
        <v>23</v>
      </c>
      <c r="C218" s="134" t="s">
        <v>381</v>
      </c>
      <c r="D218" s="135">
        <v>270400</v>
      </c>
      <c r="E218" s="134" t="s">
        <v>388</v>
      </c>
      <c r="F218" s="134">
        <v>113</v>
      </c>
      <c r="G218" s="153" t="s">
        <v>504</v>
      </c>
      <c r="H218" s="134"/>
      <c r="I218" s="134">
        <v>4</v>
      </c>
      <c r="J218" s="136"/>
      <c r="K218" s="138">
        <f>VLOOKUP(F218,Plan2!$1:$1048576,8,FALSE)</f>
        <v>389</v>
      </c>
      <c r="L218" s="136">
        <v>42759</v>
      </c>
      <c r="M218" s="134" t="s">
        <v>416</v>
      </c>
      <c r="N218" s="134">
        <v>4</v>
      </c>
      <c r="O218" s="138">
        <f t="shared" si="4"/>
        <v>1556</v>
      </c>
      <c r="P218" s="169">
        <v>42838</v>
      </c>
      <c r="Q218" s="168" t="s">
        <v>603</v>
      </c>
      <c r="R218" s="134">
        <v>339030</v>
      </c>
      <c r="S218" s="134">
        <v>35</v>
      </c>
      <c r="T218" s="134" t="s">
        <v>601</v>
      </c>
      <c r="U218" s="141"/>
    </row>
    <row r="219" spans="1:21" ht="46.5" customHeight="1" x14ac:dyDescent="0.25">
      <c r="A219" s="134" t="s">
        <v>380</v>
      </c>
      <c r="B219" s="134" t="s">
        <v>23</v>
      </c>
      <c r="C219" s="134" t="s">
        <v>381</v>
      </c>
      <c r="D219" s="135">
        <v>270400</v>
      </c>
      <c r="E219" s="134" t="s">
        <v>388</v>
      </c>
      <c r="F219" s="134">
        <v>114</v>
      </c>
      <c r="G219" s="153" t="s">
        <v>533</v>
      </c>
      <c r="H219" s="134"/>
      <c r="I219" s="134">
        <v>4</v>
      </c>
      <c r="J219" s="136"/>
      <c r="K219" s="138">
        <f>VLOOKUP(F219,Plan2!$1:$1048576,8,FALSE)</f>
        <v>443.39</v>
      </c>
      <c r="L219" s="136">
        <v>42759</v>
      </c>
      <c r="M219" s="134" t="s">
        <v>416</v>
      </c>
      <c r="N219" s="134">
        <v>4</v>
      </c>
      <c r="O219" s="138">
        <f t="shared" si="4"/>
        <v>1773.56</v>
      </c>
      <c r="P219" s="169">
        <v>42838</v>
      </c>
      <c r="Q219" s="168" t="s">
        <v>603</v>
      </c>
      <c r="R219" s="134">
        <v>339030</v>
      </c>
      <c r="S219" s="134">
        <v>35</v>
      </c>
      <c r="T219" s="134" t="s">
        <v>601</v>
      </c>
      <c r="U219" s="141"/>
    </row>
    <row r="220" spans="1:21" ht="46.5" customHeight="1" x14ac:dyDescent="0.25">
      <c r="A220" s="134" t="s">
        <v>380</v>
      </c>
      <c r="B220" s="134" t="s">
        <v>23</v>
      </c>
      <c r="C220" s="134" t="s">
        <v>381</v>
      </c>
      <c r="D220" s="135">
        <v>270400</v>
      </c>
      <c r="E220" s="134" t="s">
        <v>388</v>
      </c>
      <c r="F220" s="134">
        <v>115</v>
      </c>
      <c r="G220" s="153" t="s">
        <v>505</v>
      </c>
      <c r="H220" s="134"/>
      <c r="I220" s="134">
        <v>9</v>
      </c>
      <c r="J220" s="136"/>
      <c r="K220" s="138">
        <f>VLOOKUP(F220,Plan2!$1:$1048576,8,FALSE)</f>
        <v>389</v>
      </c>
      <c r="L220" s="136">
        <v>42759</v>
      </c>
      <c r="M220" s="134" t="s">
        <v>416</v>
      </c>
      <c r="N220" s="134">
        <v>9</v>
      </c>
      <c r="O220" s="138">
        <f t="shared" si="4"/>
        <v>3501</v>
      </c>
      <c r="P220" s="169">
        <v>42838</v>
      </c>
      <c r="Q220" s="168" t="s">
        <v>603</v>
      </c>
      <c r="R220" s="134">
        <v>339030</v>
      </c>
      <c r="S220" s="134">
        <v>35</v>
      </c>
      <c r="T220" s="134" t="s">
        <v>601</v>
      </c>
      <c r="U220" s="141"/>
    </row>
    <row r="221" spans="1:21" ht="46.5" customHeight="1" x14ac:dyDescent="0.25">
      <c r="A221" s="134" t="s">
        <v>380</v>
      </c>
      <c r="B221" s="134" t="s">
        <v>23</v>
      </c>
      <c r="C221" s="134" t="s">
        <v>381</v>
      </c>
      <c r="D221" s="135">
        <v>270400</v>
      </c>
      <c r="E221" s="134" t="s">
        <v>388</v>
      </c>
      <c r="F221" s="134">
        <v>116</v>
      </c>
      <c r="G221" s="153" t="s">
        <v>506</v>
      </c>
      <c r="H221" s="134"/>
      <c r="I221" s="134">
        <v>60</v>
      </c>
      <c r="J221" s="136"/>
      <c r="K221" s="138">
        <f>VLOOKUP(F221,Plan2!$1:$1048576,8,FALSE)</f>
        <v>4.84</v>
      </c>
      <c r="L221" s="136">
        <v>42759</v>
      </c>
      <c r="M221" s="134" t="s">
        <v>416</v>
      </c>
      <c r="N221" s="134">
        <v>60</v>
      </c>
      <c r="O221" s="138">
        <f t="shared" si="4"/>
        <v>290.39999999999998</v>
      </c>
      <c r="P221" s="169">
        <v>42838</v>
      </c>
      <c r="Q221" s="168" t="s">
        <v>603</v>
      </c>
      <c r="R221" s="134">
        <v>339030</v>
      </c>
      <c r="S221" s="134">
        <v>35</v>
      </c>
      <c r="T221" s="134" t="s">
        <v>601</v>
      </c>
      <c r="U221" s="141"/>
    </row>
    <row r="222" spans="1:21" ht="46.5" customHeight="1" x14ac:dyDescent="0.25">
      <c r="A222" s="134" t="s">
        <v>380</v>
      </c>
      <c r="B222" s="134" t="s">
        <v>23</v>
      </c>
      <c r="C222" s="134" t="s">
        <v>381</v>
      </c>
      <c r="D222" s="135">
        <v>270400</v>
      </c>
      <c r="E222" s="134" t="s">
        <v>388</v>
      </c>
      <c r="F222" s="134">
        <v>117</v>
      </c>
      <c r="G222" s="153" t="s">
        <v>451</v>
      </c>
      <c r="H222" s="134"/>
      <c r="I222" s="134">
        <v>50</v>
      </c>
      <c r="J222" s="136"/>
      <c r="K222" s="138">
        <f>VLOOKUP(F222,Plan2!$1:$1048576,8,FALSE)</f>
        <v>2.3199999999999998</v>
      </c>
      <c r="L222" s="136">
        <v>42759</v>
      </c>
      <c r="M222" s="134" t="s">
        <v>416</v>
      </c>
      <c r="N222" s="134">
        <v>50</v>
      </c>
      <c r="O222" s="138">
        <f t="shared" si="4"/>
        <v>115.99999999999999</v>
      </c>
      <c r="P222" s="169">
        <v>42838</v>
      </c>
      <c r="Q222" s="168" t="s">
        <v>603</v>
      </c>
      <c r="R222" s="134">
        <v>339030</v>
      </c>
      <c r="S222" s="134">
        <v>35</v>
      </c>
      <c r="T222" s="134" t="s">
        <v>601</v>
      </c>
      <c r="U222" s="141"/>
    </row>
    <row r="223" spans="1:21" ht="46.5" customHeight="1" x14ac:dyDescent="0.25">
      <c r="A223" s="134" t="s">
        <v>380</v>
      </c>
      <c r="B223" s="134" t="s">
        <v>23</v>
      </c>
      <c r="C223" s="134" t="s">
        <v>381</v>
      </c>
      <c r="D223" s="135">
        <v>270400</v>
      </c>
      <c r="E223" s="134" t="s">
        <v>388</v>
      </c>
      <c r="F223" s="134">
        <v>120</v>
      </c>
      <c r="G223" s="153" t="s">
        <v>453</v>
      </c>
      <c r="H223" s="134"/>
      <c r="I223" s="134">
        <v>24</v>
      </c>
      <c r="J223" s="136"/>
      <c r="K223" s="138">
        <f>VLOOKUP(F223,Plan2!$1:$1048576,8,FALSE)</f>
        <v>2.2000000000000002</v>
      </c>
      <c r="L223" s="136">
        <v>42759</v>
      </c>
      <c r="M223" s="134" t="s">
        <v>416</v>
      </c>
      <c r="N223" s="134">
        <v>24</v>
      </c>
      <c r="O223" s="138">
        <f t="shared" si="4"/>
        <v>52.800000000000004</v>
      </c>
      <c r="P223" s="169">
        <v>42838</v>
      </c>
      <c r="Q223" s="168" t="s">
        <v>603</v>
      </c>
      <c r="R223" s="134">
        <v>339030</v>
      </c>
      <c r="S223" s="134">
        <v>35</v>
      </c>
      <c r="T223" s="134" t="s">
        <v>601</v>
      </c>
      <c r="U223" s="141"/>
    </row>
    <row r="224" spans="1:21" ht="46.5" customHeight="1" x14ac:dyDescent="0.25">
      <c r="A224" s="134" t="s">
        <v>380</v>
      </c>
      <c r="B224" s="134" t="s">
        <v>23</v>
      </c>
      <c r="C224" s="134" t="s">
        <v>381</v>
      </c>
      <c r="D224" s="135">
        <v>270400</v>
      </c>
      <c r="E224" s="134" t="s">
        <v>388</v>
      </c>
      <c r="F224" s="134">
        <v>122</v>
      </c>
      <c r="G224" s="153" t="s">
        <v>471</v>
      </c>
      <c r="H224" s="134"/>
      <c r="I224" s="134">
        <v>22</v>
      </c>
      <c r="J224" s="136"/>
      <c r="K224" s="138">
        <f>VLOOKUP(F224,Plan2!$1:$1048576,8,FALSE)</f>
        <v>2.78</v>
      </c>
      <c r="L224" s="136">
        <v>42759</v>
      </c>
      <c r="M224" s="134" t="s">
        <v>416</v>
      </c>
      <c r="N224" s="134">
        <v>22</v>
      </c>
      <c r="O224" s="138">
        <f t="shared" si="4"/>
        <v>61.16</v>
      </c>
      <c r="P224" s="169">
        <v>42838</v>
      </c>
      <c r="Q224" s="168" t="s">
        <v>603</v>
      </c>
      <c r="R224" s="134">
        <v>339030</v>
      </c>
      <c r="S224" s="134">
        <v>35</v>
      </c>
      <c r="T224" s="134" t="s">
        <v>601</v>
      </c>
      <c r="U224" s="141"/>
    </row>
    <row r="225" spans="1:21" ht="46.5" customHeight="1" x14ac:dyDescent="0.25">
      <c r="A225" s="134" t="s">
        <v>380</v>
      </c>
      <c r="B225" s="134" t="s">
        <v>23</v>
      </c>
      <c r="C225" s="134" t="s">
        <v>381</v>
      </c>
      <c r="D225" s="135">
        <v>270400</v>
      </c>
      <c r="E225" s="134" t="s">
        <v>388</v>
      </c>
      <c r="F225" s="134">
        <v>123</v>
      </c>
      <c r="G225" s="153" t="s">
        <v>472</v>
      </c>
      <c r="H225" s="134"/>
      <c r="I225" s="134">
        <v>28</v>
      </c>
      <c r="J225" s="136"/>
      <c r="K225" s="138">
        <f>VLOOKUP(F225,Plan2!$1:$1048576,8,FALSE)</f>
        <v>3.68</v>
      </c>
      <c r="L225" s="136">
        <v>42759</v>
      </c>
      <c r="M225" s="134" t="s">
        <v>416</v>
      </c>
      <c r="N225" s="134">
        <v>28</v>
      </c>
      <c r="O225" s="138">
        <f t="shared" si="4"/>
        <v>103.04</v>
      </c>
      <c r="P225" s="169">
        <v>42838</v>
      </c>
      <c r="Q225" s="168" t="s">
        <v>603</v>
      </c>
      <c r="R225" s="134">
        <v>339030</v>
      </c>
      <c r="S225" s="134">
        <v>35</v>
      </c>
      <c r="T225" s="134" t="s">
        <v>601</v>
      </c>
      <c r="U225" s="141"/>
    </row>
    <row r="226" spans="1:21" ht="46.5" customHeight="1" x14ac:dyDescent="0.25">
      <c r="A226" s="134" t="s">
        <v>380</v>
      </c>
      <c r="B226" s="134" t="s">
        <v>23</v>
      </c>
      <c r="C226" s="134" t="s">
        <v>381</v>
      </c>
      <c r="D226" s="135">
        <v>270400</v>
      </c>
      <c r="E226" s="134" t="s">
        <v>388</v>
      </c>
      <c r="F226" s="134">
        <v>124</v>
      </c>
      <c r="G226" s="153" t="s">
        <v>454</v>
      </c>
      <c r="H226" s="134"/>
      <c r="I226" s="134">
        <v>18</v>
      </c>
      <c r="J226" s="136"/>
      <c r="K226" s="138">
        <f>VLOOKUP(F226,Plan2!$1:$1048576,8,FALSE)</f>
        <v>5.99</v>
      </c>
      <c r="L226" s="136">
        <v>42759</v>
      </c>
      <c r="M226" s="134" t="s">
        <v>416</v>
      </c>
      <c r="N226" s="134">
        <v>18</v>
      </c>
      <c r="O226" s="138">
        <f t="shared" si="4"/>
        <v>107.82000000000001</v>
      </c>
      <c r="P226" s="169">
        <v>42838</v>
      </c>
      <c r="Q226" s="168" t="s">
        <v>603</v>
      </c>
      <c r="R226" s="134">
        <v>339030</v>
      </c>
      <c r="S226" s="134">
        <v>35</v>
      </c>
      <c r="T226" s="134" t="s">
        <v>601</v>
      </c>
      <c r="U226" s="141"/>
    </row>
    <row r="227" spans="1:21" ht="46.5" customHeight="1" x14ac:dyDescent="0.25">
      <c r="A227" s="134" t="s">
        <v>380</v>
      </c>
      <c r="B227" s="134" t="s">
        <v>23</v>
      </c>
      <c r="C227" s="134" t="s">
        <v>381</v>
      </c>
      <c r="D227" s="135">
        <v>270400</v>
      </c>
      <c r="E227" s="134" t="s">
        <v>388</v>
      </c>
      <c r="F227" s="134">
        <v>125</v>
      </c>
      <c r="G227" s="153" t="s">
        <v>473</v>
      </c>
      <c r="H227" s="134"/>
      <c r="I227" s="134">
        <v>33</v>
      </c>
      <c r="J227" s="136"/>
      <c r="K227" s="138">
        <f>VLOOKUP(F227,Plan2!$1:$1048576,8,FALSE)</f>
        <v>5.2</v>
      </c>
      <c r="L227" s="136">
        <v>42759</v>
      </c>
      <c r="M227" s="134" t="s">
        <v>416</v>
      </c>
      <c r="N227" s="134">
        <v>33</v>
      </c>
      <c r="O227" s="138">
        <f t="shared" si="4"/>
        <v>171.6</v>
      </c>
      <c r="P227" s="169">
        <v>42838</v>
      </c>
      <c r="Q227" s="168" t="s">
        <v>603</v>
      </c>
      <c r="R227" s="134">
        <v>339030</v>
      </c>
      <c r="S227" s="134">
        <v>35</v>
      </c>
      <c r="T227" s="134" t="s">
        <v>601</v>
      </c>
      <c r="U227" s="141"/>
    </row>
    <row r="228" spans="1:21" ht="46.5" customHeight="1" x14ac:dyDescent="0.25">
      <c r="A228" s="134" t="s">
        <v>380</v>
      </c>
      <c r="B228" s="134" t="s">
        <v>23</v>
      </c>
      <c r="C228" s="134" t="s">
        <v>381</v>
      </c>
      <c r="D228" s="135">
        <v>270400</v>
      </c>
      <c r="E228" s="134" t="s">
        <v>388</v>
      </c>
      <c r="F228" s="134">
        <v>126</v>
      </c>
      <c r="G228" s="153" t="s">
        <v>507</v>
      </c>
      <c r="H228" s="134"/>
      <c r="I228" s="134">
        <v>24</v>
      </c>
      <c r="J228" s="136"/>
      <c r="K228" s="138">
        <f>VLOOKUP(F228,Plan2!$1:$1048576,8,FALSE)</f>
        <v>8.2899999999999991</v>
      </c>
      <c r="L228" s="136">
        <v>42759</v>
      </c>
      <c r="M228" s="134" t="s">
        <v>416</v>
      </c>
      <c r="N228" s="134">
        <v>24</v>
      </c>
      <c r="O228" s="138">
        <f t="shared" si="4"/>
        <v>198.95999999999998</v>
      </c>
      <c r="P228" s="169">
        <v>42838</v>
      </c>
      <c r="Q228" s="168" t="s">
        <v>603</v>
      </c>
      <c r="R228" s="134">
        <v>339030</v>
      </c>
      <c r="S228" s="134">
        <v>35</v>
      </c>
      <c r="T228" s="134" t="s">
        <v>601</v>
      </c>
      <c r="U228" s="141"/>
    </row>
    <row r="229" spans="1:21" ht="46.5" customHeight="1" x14ac:dyDescent="0.25">
      <c r="A229" s="134" t="s">
        <v>380</v>
      </c>
      <c r="B229" s="134" t="s">
        <v>23</v>
      </c>
      <c r="C229" s="134" t="s">
        <v>381</v>
      </c>
      <c r="D229" s="135">
        <v>270400</v>
      </c>
      <c r="E229" s="134" t="s">
        <v>388</v>
      </c>
      <c r="F229" s="134">
        <v>128</v>
      </c>
      <c r="G229" s="153" t="s">
        <v>508</v>
      </c>
      <c r="H229" s="134"/>
      <c r="I229" s="134">
        <v>30</v>
      </c>
      <c r="J229" s="136"/>
      <c r="K229" s="138">
        <f>VLOOKUP(F229,Plan2!$1:$1048576,8,FALSE)</f>
        <v>117.77</v>
      </c>
      <c r="L229" s="136">
        <v>42759</v>
      </c>
      <c r="M229" s="134" t="s">
        <v>416</v>
      </c>
      <c r="N229" s="134">
        <v>30</v>
      </c>
      <c r="O229" s="138">
        <f t="shared" si="4"/>
        <v>3533.1</v>
      </c>
      <c r="P229" s="169">
        <v>42838</v>
      </c>
      <c r="Q229" s="168" t="s">
        <v>603</v>
      </c>
      <c r="R229" s="134">
        <v>339030</v>
      </c>
      <c r="S229" s="134">
        <v>35</v>
      </c>
      <c r="T229" s="134" t="s">
        <v>601</v>
      </c>
      <c r="U229" s="141"/>
    </row>
    <row r="230" spans="1:21" ht="46.5" customHeight="1" x14ac:dyDescent="0.25">
      <c r="A230" s="134" t="s">
        <v>380</v>
      </c>
      <c r="B230" s="134" t="s">
        <v>23</v>
      </c>
      <c r="C230" s="134" t="s">
        <v>381</v>
      </c>
      <c r="D230" s="135">
        <v>270400</v>
      </c>
      <c r="E230" s="134" t="s">
        <v>388</v>
      </c>
      <c r="F230" s="134">
        <v>136</v>
      </c>
      <c r="G230" s="153" t="s">
        <v>474</v>
      </c>
      <c r="H230" s="134"/>
      <c r="I230" s="134">
        <v>210</v>
      </c>
      <c r="J230" s="136"/>
      <c r="K230" s="138">
        <f>VLOOKUP(F230,Plan2!$1:$1048576,8,FALSE)</f>
        <v>4.05</v>
      </c>
      <c r="L230" s="136">
        <v>42759</v>
      </c>
      <c r="M230" s="134" t="s">
        <v>416</v>
      </c>
      <c r="N230" s="134">
        <v>210</v>
      </c>
      <c r="O230" s="138">
        <f t="shared" si="4"/>
        <v>850.5</v>
      </c>
      <c r="P230" s="169">
        <v>42838</v>
      </c>
      <c r="Q230" s="168" t="s">
        <v>603</v>
      </c>
      <c r="R230" s="134">
        <v>339030</v>
      </c>
      <c r="S230" s="134">
        <v>35</v>
      </c>
      <c r="T230" s="134" t="s">
        <v>601</v>
      </c>
      <c r="U230" s="141"/>
    </row>
    <row r="231" spans="1:21" ht="46.5" customHeight="1" x14ac:dyDescent="0.25">
      <c r="A231" s="134" t="s">
        <v>380</v>
      </c>
      <c r="B231" s="134" t="s">
        <v>23</v>
      </c>
      <c r="C231" s="134" t="s">
        <v>381</v>
      </c>
      <c r="D231" s="135">
        <v>270400</v>
      </c>
      <c r="E231" s="134" t="s">
        <v>388</v>
      </c>
      <c r="F231" s="134">
        <v>137</v>
      </c>
      <c r="G231" s="153" t="s">
        <v>475</v>
      </c>
      <c r="H231" s="134"/>
      <c r="I231" s="134">
        <v>15</v>
      </c>
      <c r="J231" s="136"/>
      <c r="K231" s="138">
        <f>VLOOKUP(F231,Plan2!$1:$1048576,8,FALSE)</f>
        <v>6.3</v>
      </c>
      <c r="L231" s="136">
        <v>42759</v>
      </c>
      <c r="M231" s="134" t="s">
        <v>416</v>
      </c>
      <c r="N231" s="134">
        <v>15</v>
      </c>
      <c r="O231" s="138">
        <f t="shared" si="4"/>
        <v>94.5</v>
      </c>
      <c r="P231" s="169">
        <v>42838</v>
      </c>
      <c r="Q231" s="168" t="s">
        <v>603</v>
      </c>
      <c r="R231" s="134">
        <v>339030</v>
      </c>
      <c r="S231" s="134">
        <v>35</v>
      </c>
      <c r="T231" s="134" t="s">
        <v>601</v>
      </c>
      <c r="U231" s="141"/>
    </row>
    <row r="232" spans="1:21" ht="46.5" customHeight="1" x14ac:dyDescent="0.25">
      <c r="A232" s="134" t="s">
        <v>380</v>
      </c>
      <c r="B232" s="134" t="s">
        <v>23</v>
      </c>
      <c r="C232" s="134" t="s">
        <v>381</v>
      </c>
      <c r="D232" s="135">
        <v>270400</v>
      </c>
      <c r="E232" s="134" t="s">
        <v>388</v>
      </c>
      <c r="F232" s="134">
        <v>138</v>
      </c>
      <c r="G232" s="153" t="s">
        <v>486</v>
      </c>
      <c r="H232" s="134"/>
      <c r="I232" s="134">
        <v>225</v>
      </c>
      <c r="J232" s="136"/>
      <c r="K232" s="138">
        <f>VLOOKUP(F232,Plan2!$1:$1048576,8,FALSE)</f>
        <v>5.95</v>
      </c>
      <c r="L232" s="136">
        <v>42759</v>
      </c>
      <c r="M232" s="134" t="s">
        <v>416</v>
      </c>
      <c r="N232" s="134">
        <v>225</v>
      </c>
      <c r="O232" s="138">
        <f t="shared" si="4"/>
        <v>1338.75</v>
      </c>
      <c r="P232" s="169">
        <v>42838</v>
      </c>
      <c r="Q232" s="168" t="s">
        <v>603</v>
      </c>
      <c r="R232" s="134">
        <v>339030</v>
      </c>
      <c r="S232" s="134">
        <v>35</v>
      </c>
      <c r="T232" s="134" t="s">
        <v>601</v>
      </c>
      <c r="U232" s="141"/>
    </row>
    <row r="233" spans="1:21" ht="46.5" customHeight="1" x14ac:dyDescent="0.25">
      <c r="A233" s="134" t="s">
        <v>380</v>
      </c>
      <c r="B233" s="134" t="s">
        <v>23</v>
      </c>
      <c r="C233" s="134" t="s">
        <v>381</v>
      </c>
      <c r="D233" s="135">
        <v>270400</v>
      </c>
      <c r="E233" s="134" t="s">
        <v>388</v>
      </c>
      <c r="F233" s="134">
        <v>139</v>
      </c>
      <c r="G233" s="153" t="s">
        <v>534</v>
      </c>
      <c r="H233" s="134"/>
      <c r="I233" s="134">
        <v>49</v>
      </c>
      <c r="J233" s="136"/>
      <c r="K233" s="138">
        <f>VLOOKUP(F233,Plan2!$1:$1048576,8,FALSE)</f>
        <v>15</v>
      </c>
      <c r="L233" s="136">
        <v>42759</v>
      </c>
      <c r="M233" s="134" t="s">
        <v>416</v>
      </c>
      <c r="N233" s="134">
        <v>39</v>
      </c>
      <c r="O233" s="138">
        <f t="shared" si="4"/>
        <v>585</v>
      </c>
      <c r="P233" s="169">
        <v>42838</v>
      </c>
      <c r="Q233" s="168" t="s">
        <v>603</v>
      </c>
      <c r="R233" s="134">
        <v>339030</v>
      </c>
      <c r="S233" s="134">
        <v>35</v>
      </c>
      <c r="T233" s="134" t="s">
        <v>614</v>
      </c>
      <c r="U233" s="141"/>
    </row>
    <row r="234" spans="1:21" ht="46.5" customHeight="1" x14ac:dyDescent="0.25">
      <c r="A234" s="134" t="s">
        <v>380</v>
      </c>
      <c r="B234" s="134" t="s">
        <v>23</v>
      </c>
      <c r="C234" s="134" t="s">
        <v>381</v>
      </c>
      <c r="D234" s="135">
        <v>270400</v>
      </c>
      <c r="E234" s="134" t="s">
        <v>388</v>
      </c>
      <c r="F234" s="134">
        <v>150</v>
      </c>
      <c r="G234" s="153" t="s">
        <v>535</v>
      </c>
      <c r="H234" s="134"/>
      <c r="I234" s="134">
        <v>4</v>
      </c>
      <c r="J234" s="136"/>
      <c r="K234" s="138">
        <f>VLOOKUP(F234,Plan2!$1:$1048576,8,FALSE)</f>
        <v>22.55</v>
      </c>
      <c r="L234" s="136">
        <v>42759</v>
      </c>
      <c r="M234" s="134" t="s">
        <v>416</v>
      </c>
      <c r="N234" s="134">
        <v>4</v>
      </c>
      <c r="O234" s="138">
        <f t="shared" si="4"/>
        <v>90.2</v>
      </c>
      <c r="P234" s="169">
        <v>42838</v>
      </c>
      <c r="Q234" s="168" t="s">
        <v>603</v>
      </c>
      <c r="R234" s="134">
        <v>339030</v>
      </c>
      <c r="S234" s="134">
        <v>35</v>
      </c>
      <c r="T234" s="134" t="s">
        <v>601</v>
      </c>
      <c r="U234" s="141"/>
    </row>
    <row r="235" spans="1:21" ht="46.5" customHeight="1" x14ac:dyDescent="0.25">
      <c r="A235" s="134" t="s">
        <v>380</v>
      </c>
      <c r="B235" s="134" t="s">
        <v>23</v>
      </c>
      <c r="C235" s="134" t="s">
        <v>381</v>
      </c>
      <c r="D235" s="135">
        <v>270400</v>
      </c>
      <c r="E235" s="134" t="s">
        <v>388</v>
      </c>
      <c r="F235" s="134">
        <v>155</v>
      </c>
      <c r="G235" s="153" t="s">
        <v>511</v>
      </c>
      <c r="H235" s="134"/>
      <c r="I235" s="134">
        <v>9</v>
      </c>
      <c r="J235" s="136"/>
      <c r="K235" s="138">
        <f>VLOOKUP(F235,Plan2!$1:$1048576,8,FALSE)</f>
        <v>15.97</v>
      </c>
      <c r="L235" s="136">
        <v>42759</v>
      </c>
      <c r="M235" s="134" t="s">
        <v>416</v>
      </c>
      <c r="N235" s="134">
        <v>9</v>
      </c>
      <c r="O235" s="138">
        <f t="shared" si="4"/>
        <v>143.73000000000002</v>
      </c>
      <c r="P235" s="169">
        <v>42838</v>
      </c>
      <c r="Q235" s="168" t="s">
        <v>603</v>
      </c>
      <c r="R235" s="134">
        <v>339030</v>
      </c>
      <c r="S235" s="134">
        <v>35</v>
      </c>
      <c r="T235" s="134" t="s">
        <v>601</v>
      </c>
      <c r="U235" s="141"/>
    </row>
    <row r="236" spans="1:21" ht="46.5" customHeight="1" x14ac:dyDescent="0.25">
      <c r="A236" s="134" t="s">
        <v>380</v>
      </c>
      <c r="B236" s="134" t="s">
        <v>23</v>
      </c>
      <c r="C236" s="134" t="s">
        <v>381</v>
      </c>
      <c r="D236" s="135">
        <v>270400</v>
      </c>
      <c r="E236" s="134" t="s">
        <v>388</v>
      </c>
      <c r="F236" s="134">
        <v>1</v>
      </c>
      <c r="G236" s="153" t="s">
        <v>455</v>
      </c>
      <c r="H236" s="134"/>
      <c r="I236" s="134">
        <v>6</v>
      </c>
      <c r="J236" s="136"/>
      <c r="K236" s="138">
        <f>VLOOKUP(F236,Plan2!$1:$1048576,8,FALSE)</f>
        <v>1020</v>
      </c>
      <c r="L236" s="136">
        <v>42760</v>
      </c>
      <c r="M236" s="134" t="s">
        <v>416</v>
      </c>
      <c r="N236" s="134">
        <v>6</v>
      </c>
      <c r="O236" s="138">
        <f t="shared" si="4"/>
        <v>6120</v>
      </c>
      <c r="P236" s="169">
        <v>42838</v>
      </c>
      <c r="Q236" s="168" t="s">
        <v>603</v>
      </c>
      <c r="R236" s="134">
        <v>339030</v>
      </c>
      <c r="S236" s="134">
        <v>35</v>
      </c>
      <c r="T236" s="134" t="s">
        <v>601</v>
      </c>
      <c r="U236" s="141"/>
    </row>
    <row r="237" spans="1:21" ht="46.5" customHeight="1" x14ac:dyDescent="0.25">
      <c r="A237" s="134" t="s">
        <v>380</v>
      </c>
      <c r="B237" s="134" t="s">
        <v>23</v>
      </c>
      <c r="C237" s="134" t="s">
        <v>381</v>
      </c>
      <c r="D237" s="135">
        <v>270400</v>
      </c>
      <c r="E237" s="134" t="s">
        <v>388</v>
      </c>
      <c r="F237" s="134">
        <v>2</v>
      </c>
      <c r="G237" s="153" t="s">
        <v>512</v>
      </c>
      <c r="H237" s="134"/>
      <c r="I237" s="134">
        <v>6</v>
      </c>
      <c r="J237" s="136"/>
      <c r="K237" s="138">
        <f>VLOOKUP(F237,Plan2!$1:$1048576,8,FALSE)</f>
        <v>1800</v>
      </c>
      <c r="L237" s="136">
        <v>42759</v>
      </c>
      <c r="M237" s="134" t="s">
        <v>416</v>
      </c>
      <c r="N237" s="134">
        <v>6</v>
      </c>
      <c r="O237" s="138">
        <f t="shared" si="4"/>
        <v>10800</v>
      </c>
      <c r="P237" s="169">
        <v>42838</v>
      </c>
      <c r="Q237" s="168" t="s">
        <v>603</v>
      </c>
      <c r="R237" s="134">
        <v>339030</v>
      </c>
      <c r="S237" s="134">
        <v>35</v>
      </c>
      <c r="T237" s="134" t="s">
        <v>601</v>
      </c>
      <c r="U237" s="141"/>
    </row>
    <row r="238" spans="1:21" ht="46.5" customHeight="1" x14ac:dyDescent="0.25">
      <c r="A238" s="134" t="s">
        <v>380</v>
      </c>
      <c r="B238" s="134" t="s">
        <v>23</v>
      </c>
      <c r="C238" s="134" t="s">
        <v>381</v>
      </c>
      <c r="D238" s="135">
        <v>270400</v>
      </c>
      <c r="E238" s="134" t="s">
        <v>388</v>
      </c>
      <c r="F238" s="134">
        <v>119</v>
      </c>
      <c r="G238" s="153" t="s">
        <v>452</v>
      </c>
      <c r="H238" s="134"/>
      <c r="I238" s="134">
        <v>1</v>
      </c>
      <c r="J238" s="136"/>
      <c r="K238" s="138">
        <f>VLOOKUP(F238,Plan2!$1:$1048576,8,FALSE)</f>
        <v>204.99</v>
      </c>
      <c r="L238" s="136">
        <v>42759</v>
      </c>
      <c r="M238" s="134" t="s">
        <v>412</v>
      </c>
      <c r="N238" s="134">
        <v>1</v>
      </c>
      <c r="O238" s="138">
        <f t="shared" si="4"/>
        <v>204.99</v>
      </c>
      <c r="P238" s="167">
        <v>42913</v>
      </c>
      <c r="Q238" s="181" t="s">
        <v>613</v>
      </c>
      <c r="R238" s="134">
        <v>339030</v>
      </c>
      <c r="S238" s="134">
        <v>35</v>
      </c>
      <c r="T238" s="134" t="s">
        <v>601</v>
      </c>
      <c r="U238" s="141"/>
    </row>
    <row r="239" spans="1:21" ht="46.5" customHeight="1" x14ac:dyDescent="0.25">
      <c r="A239" s="134" t="s">
        <v>380</v>
      </c>
      <c r="B239" s="134" t="s">
        <v>23</v>
      </c>
      <c r="C239" s="134" t="s">
        <v>381</v>
      </c>
      <c r="D239" s="135">
        <v>270400</v>
      </c>
      <c r="E239" s="134" t="s">
        <v>388</v>
      </c>
      <c r="F239" s="134">
        <v>77</v>
      </c>
      <c r="G239" s="153" t="s">
        <v>536</v>
      </c>
      <c r="H239" s="134"/>
      <c r="I239" s="134">
        <v>15</v>
      </c>
      <c r="J239" s="136"/>
      <c r="K239" s="138">
        <f>VLOOKUP(F239,Plan2!$1:$1048576,8,FALSE)</f>
        <v>29.74</v>
      </c>
      <c r="L239" s="136">
        <v>42759</v>
      </c>
      <c r="M239" s="134" t="s">
        <v>414</v>
      </c>
      <c r="N239" s="134">
        <v>15</v>
      </c>
      <c r="O239" s="138">
        <f t="shared" si="4"/>
        <v>446.09999999999997</v>
      </c>
      <c r="P239" s="177">
        <v>42894</v>
      </c>
      <c r="Q239" s="179" t="s">
        <v>602</v>
      </c>
      <c r="R239" s="134">
        <v>339030</v>
      </c>
      <c r="S239" s="134">
        <v>35</v>
      </c>
      <c r="T239" s="134" t="s">
        <v>601</v>
      </c>
      <c r="U239" s="141"/>
    </row>
    <row r="240" spans="1:21" ht="46.5" customHeight="1" x14ac:dyDescent="0.25">
      <c r="A240" s="134" t="s">
        <v>380</v>
      </c>
      <c r="B240" s="134" t="s">
        <v>23</v>
      </c>
      <c r="C240" s="134" t="s">
        <v>381</v>
      </c>
      <c r="D240" s="135">
        <v>270400</v>
      </c>
      <c r="E240" s="134" t="s">
        <v>388</v>
      </c>
      <c r="F240" s="134">
        <v>87</v>
      </c>
      <c r="G240" s="153" t="s">
        <v>525</v>
      </c>
      <c r="H240" s="134"/>
      <c r="I240" s="134">
        <v>200</v>
      </c>
      <c r="J240" s="136"/>
      <c r="K240" s="138">
        <f>VLOOKUP(F240,Plan2!$1:$1048576,8,FALSE)</f>
        <v>7.29</v>
      </c>
      <c r="L240" s="136">
        <v>42759</v>
      </c>
      <c r="M240" s="134" t="s">
        <v>414</v>
      </c>
      <c r="N240" s="134">
        <v>83</v>
      </c>
      <c r="O240" s="138">
        <f t="shared" si="4"/>
        <v>605.07000000000005</v>
      </c>
      <c r="P240" s="167">
        <v>42894</v>
      </c>
      <c r="Q240" s="168" t="s">
        <v>602</v>
      </c>
      <c r="R240" s="134">
        <v>339030</v>
      </c>
      <c r="S240" s="134">
        <v>35</v>
      </c>
      <c r="T240" s="134" t="s">
        <v>614</v>
      </c>
      <c r="U240" s="141"/>
    </row>
    <row r="241" spans="1:21" ht="46.5" customHeight="1" x14ac:dyDescent="0.25">
      <c r="A241" s="134" t="s">
        <v>380</v>
      </c>
      <c r="B241" s="134" t="s">
        <v>23</v>
      </c>
      <c r="C241" s="134" t="s">
        <v>381</v>
      </c>
      <c r="D241" s="135">
        <v>270400</v>
      </c>
      <c r="E241" s="134" t="s">
        <v>388</v>
      </c>
      <c r="F241" s="134">
        <v>47</v>
      </c>
      <c r="G241" s="153" t="s">
        <v>441</v>
      </c>
      <c r="H241" s="134"/>
      <c r="I241" s="134">
        <v>60</v>
      </c>
      <c r="J241" s="136"/>
      <c r="K241" s="134">
        <f>VLOOKUP(F241,Plan2!$1:$1048576,8,FALSE)</f>
        <v>1.98</v>
      </c>
      <c r="L241" s="136">
        <v>42759</v>
      </c>
      <c r="M241" s="134" t="s">
        <v>413</v>
      </c>
      <c r="N241" s="134">
        <v>60</v>
      </c>
      <c r="O241" s="138">
        <f t="shared" si="4"/>
        <v>118.8</v>
      </c>
      <c r="P241" s="139">
        <v>42872</v>
      </c>
      <c r="Q241" s="140">
        <v>4648</v>
      </c>
      <c r="R241" s="134">
        <v>339030</v>
      </c>
      <c r="S241" s="134">
        <v>35</v>
      </c>
      <c r="T241" s="134" t="s">
        <v>601</v>
      </c>
      <c r="U241" s="141"/>
    </row>
    <row r="242" spans="1:21" ht="46.5" customHeight="1" x14ac:dyDescent="0.25">
      <c r="A242" s="134" t="s">
        <v>380</v>
      </c>
      <c r="B242" s="134" t="s">
        <v>23</v>
      </c>
      <c r="C242" s="134" t="s">
        <v>381</v>
      </c>
      <c r="D242" s="135">
        <v>270400</v>
      </c>
      <c r="E242" s="134" t="s">
        <v>388</v>
      </c>
      <c r="F242" s="134">
        <v>62</v>
      </c>
      <c r="G242" s="153" t="s">
        <v>496</v>
      </c>
      <c r="H242" s="134"/>
      <c r="I242" s="134">
        <v>10</v>
      </c>
      <c r="J242" s="136"/>
      <c r="K242" s="138">
        <f>VLOOKUP(F242,Plan2!$1:$1048576,8,FALSE)</f>
        <v>32</v>
      </c>
      <c r="L242" s="136">
        <v>42759</v>
      </c>
      <c r="M242" s="134" t="s">
        <v>413</v>
      </c>
      <c r="N242" s="134">
        <v>10</v>
      </c>
      <c r="O242" s="138">
        <f t="shared" si="4"/>
        <v>320</v>
      </c>
      <c r="P242" s="139">
        <v>42872</v>
      </c>
      <c r="Q242" s="140">
        <v>4648</v>
      </c>
      <c r="R242" s="134">
        <v>339030</v>
      </c>
      <c r="S242" s="134">
        <v>35</v>
      </c>
      <c r="T242" s="134" t="s">
        <v>601</v>
      </c>
      <c r="U242" s="141"/>
    </row>
    <row r="243" spans="1:21" ht="46.5" customHeight="1" x14ac:dyDescent="0.25">
      <c r="A243" s="134" t="s">
        <v>380</v>
      </c>
      <c r="B243" s="134" t="s">
        <v>23</v>
      </c>
      <c r="C243" s="134" t="s">
        <v>381</v>
      </c>
      <c r="D243" s="135">
        <v>270400</v>
      </c>
      <c r="E243" s="134" t="s">
        <v>388</v>
      </c>
      <c r="F243" s="134">
        <v>100</v>
      </c>
      <c r="G243" s="153" t="s">
        <v>448</v>
      </c>
      <c r="H243" s="134"/>
      <c r="I243" s="134">
        <v>50</v>
      </c>
      <c r="J243" s="136"/>
      <c r="K243" s="138">
        <f>VLOOKUP(F243,Plan2!$1:$1048576,8,FALSE)</f>
        <v>3.52</v>
      </c>
      <c r="L243" s="136">
        <v>42759</v>
      </c>
      <c r="M243" s="134" t="s">
        <v>413</v>
      </c>
      <c r="N243" s="134">
        <v>50</v>
      </c>
      <c r="O243" s="138">
        <f t="shared" si="4"/>
        <v>176</v>
      </c>
      <c r="P243" s="139">
        <v>42872</v>
      </c>
      <c r="Q243" s="140">
        <v>4648</v>
      </c>
      <c r="R243" s="134">
        <v>339030</v>
      </c>
      <c r="S243" s="134">
        <v>35</v>
      </c>
      <c r="T243" s="134" t="s">
        <v>601</v>
      </c>
      <c r="U243" s="141"/>
    </row>
    <row r="244" spans="1:21" ht="46.5" customHeight="1" x14ac:dyDescent="0.25">
      <c r="A244" s="134" t="s">
        <v>380</v>
      </c>
      <c r="B244" s="134" t="s">
        <v>23</v>
      </c>
      <c r="C244" s="134" t="s">
        <v>381</v>
      </c>
      <c r="D244" s="135">
        <v>270400</v>
      </c>
      <c r="E244" s="134" t="s">
        <v>388</v>
      </c>
      <c r="F244" s="134">
        <v>121</v>
      </c>
      <c r="G244" s="153" t="s">
        <v>470</v>
      </c>
      <c r="H244" s="134"/>
      <c r="I244" s="134">
        <v>8</v>
      </c>
      <c r="J244" s="136"/>
      <c r="K244" s="134">
        <f>VLOOKUP(F244,Plan2!$1:$1048576,8,FALSE)</f>
        <v>3.12</v>
      </c>
      <c r="L244" s="136">
        <v>42759</v>
      </c>
      <c r="M244" s="134" t="s">
        <v>413</v>
      </c>
      <c r="N244" s="134">
        <v>8</v>
      </c>
      <c r="O244" s="138">
        <f t="shared" si="4"/>
        <v>24.96</v>
      </c>
      <c r="P244" s="170">
        <v>42872</v>
      </c>
      <c r="Q244" s="172">
        <v>4648</v>
      </c>
      <c r="R244" s="134">
        <v>339030</v>
      </c>
      <c r="S244" s="134">
        <v>35</v>
      </c>
      <c r="T244" s="134" t="s">
        <v>601</v>
      </c>
      <c r="U244" s="141"/>
    </row>
    <row r="245" spans="1:21" ht="46.5" customHeight="1" x14ac:dyDescent="0.25">
      <c r="A245" s="134" t="s">
        <v>380</v>
      </c>
      <c r="B245" s="134" t="s">
        <v>23</v>
      </c>
      <c r="C245" s="134" t="s">
        <v>381</v>
      </c>
      <c r="D245" s="135">
        <v>280300</v>
      </c>
      <c r="E245" s="134" t="s">
        <v>407</v>
      </c>
      <c r="F245" s="134">
        <v>58</v>
      </c>
      <c r="G245" s="153" t="s">
        <v>442</v>
      </c>
      <c r="H245" s="134"/>
      <c r="I245" s="134">
        <v>5</v>
      </c>
      <c r="J245" s="136"/>
      <c r="K245" s="138">
        <f>VLOOKUP(F245,Plan2!$1:$1048576,8,FALSE)</f>
        <v>24</v>
      </c>
      <c r="L245" s="136">
        <v>42759</v>
      </c>
      <c r="M245" s="134" t="s">
        <v>416</v>
      </c>
      <c r="N245" s="134">
        <v>5</v>
      </c>
      <c r="O245" s="138">
        <f t="shared" si="4"/>
        <v>120</v>
      </c>
      <c r="P245" s="169">
        <v>42838</v>
      </c>
      <c r="Q245" s="168" t="s">
        <v>603</v>
      </c>
      <c r="R245" s="134">
        <v>339030</v>
      </c>
      <c r="S245" s="134">
        <v>35</v>
      </c>
      <c r="T245" s="134" t="s">
        <v>601</v>
      </c>
      <c r="U245" s="141"/>
    </row>
    <row r="246" spans="1:21" ht="46.5" customHeight="1" x14ac:dyDescent="0.25">
      <c r="A246" s="134" t="s">
        <v>380</v>
      </c>
      <c r="B246" s="134" t="s">
        <v>23</v>
      </c>
      <c r="C246" s="134" t="s">
        <v>381</v>
      </c>
      <c r="D246" s="135">
        <v>280300</v>
      </c>
      <c r="E246" s="134" t="s">
        <v>407</v>
      </c>
      <c r="F246" s="134">
        <v>45</v>
      </c>
      <c r="G246" s="153" t="s">
        <v>515</v>
      </c>
      <c r="H246" s="134"/>
      <c r="I246" s="134">
        <v>30</v>
      </c>
      <c r="J246" s="136"/>
      <c r="K246" s="138">
        <f>VLOOKUP(F246,Plan2!$1:$1048576,8,FALSE)</f>
        <v>0.79</v>
      </c>
      <c r="L246" s="136">
        <v>42759</v>
      </c>
      <c r="M246" s="134" t="s">
        <v>416</v>
      </c>
      <c r="N246" s="134">
        <v>15</v>
      </c>
      <c r="O246" s="138">
        <f t="shared" si="4"/>
        <v>11.850000000000001</v>
      </c>
      <c r="P246" s="169">
        <v>42838</v>
      </c>
      <c r="Q246" s="168" t="s">
        <v>603</v>
      </c>
      <c r="R246" s="134">
        <v>339030</v>
      </c>
      <c r="S246" s="134">
        <v>35</v>
      </c>
      <c r="T246" s="134" t="s">
        <v>614</v>
      </c>
      <c r="U246" s="141"/>
    </row>
    <row r="247" spans="1:21" ht="46.5" customHeight="1" x14ac:dyDescent="0.25">
      <c r="A247" s="134" t="s">
        <v>380</v>
      </c>
      <c r="B247" s="134" t="s">
        <v>23</v>
      </c>
      <c r="C247" s="134" t="s">
        <v>381</v>
      </c>
      <c r="D247" s="135">
        <v>280300</v>
      </c>
      <c r="E247" s="134" t="s">
        <v>407</v>
      </c>
      <c r="F247" s="134">
        <v>80</v>
      </c>
      <c r="G247" s="153" t="s">
        <v>498</v>
      </c>
      <c r="H247" s="134"/>
      <c r="I247" s="134">
        <v>4</v>
      </c>
      <c r="J247" s="136"/>
      <c r="K247" s="138">
        <f>VLOOKUP(F247,Plan2!$1:$1048576,8,FALSE)</f>
        <v>10.96</v>
      </c>
      <c r="L247" s="136">
        <v>42759</v>
      </c>
      <c r="M247" s="134" t="s">
        <v>416</v>
      </c>
      <c r="N247" s="134">
        <v>4</v>
      </c>
      <c r="O247" s="138">
        <f t="shared" si="4"/>
        <v>43.84</v>
      </c>
      <c r="P247" s="169">
        <v>42838</v>
      </c>
      <c r="Q247" s="168" t="s">
        <v>603</v>
      </c>
      <c r="R247" s="134">
        <v>339030</v>
      </c>
      <c r="S247" s="134">
        <v>35</v>
      </c>
      <c r="T247" s="134" t="s">
        <v>601</v>
      </c>
      <c r="U247" s="141"/>
    </row>
    <row r="248" spans="1:21" ht="46.5" customHeight="1" x14ac:dyDescent="0.25">
      <c r="A248" s="134" t="s">
        <v>380</v>
      </c>
      <c r="B248" s="134" t="s">
        <v>23</v>
      </c>
      <c r="C248" s="134" t="s">
        <v>381</v>
      </c>
      <c r="D248" s="135">
        <v>280300</v>
      </c>
      <c r="E248" s="134" t="s">
        <v>407</v>
      </c>
      <c r="F248" s="134">
        <v>81</v>
      </c>
      <c r="G248" s="153" t="s">
        <v>443</v>
      </c>
      <c r="H248" s="134"/>
      <c r="I248" s="134">
        <v>16</v>
      </c>
      <c r="J248" s="136"/>
      <c r="K248" s="138">
        <f>VLOOKUP(F248,Plan2!$1:$1048576,8,FALSE)</f>
        <v>9.85</v>
      </c>
      <c r="L248" s="136">
        <v>42759</v>
      </c>
      <c r="M248" s="134" t="s">
        <v>416</v>
      </c>
      <c r="N248" s="134">
        <v>16</v>
      </c>
      <c r="O248" s="138">
        <f t="shared" si="4"/>
        <v>157.6</v>
      </c>
      <c r="P248" s="169">
        <v>42838</v>
      </c>
      <c r="Q248" s="168" t="s">
        <v>603</v>
      </c>
      <c r="R248" s="134">
        <v>339030</v>
      </c>
      <c r="S248" s="134">
        <v>35</v>
      </c>
      <c r="T248" s="134" t="s">
        <v>601</v>
      </c>
      <c r="U248" s="141"/>
    </row>
    <row r="249" spans="1:21" ht="46.5" customHeight="1" x14ac:dyDescent="0.25">
      <c r="A249" s="134" t="s">
        <v>380</v>
      </c>
      <c r="B249" s="134" t="s">
        <v>23</v>
      </c>
      <c r="C249" s="134" t="s">
        <v>381</v>
      </c>
      <c r="D249" s="135">
        <v>280300</v>
      </c>
      <c r="E249" s="134" t="s">
        <v>407</v>
      </c>
      <c r="F249" s="134">
        <v>89</v>
      </c>
      <c r="G249" s="153" t="s">
        <v>462</v>
      </c>
      <c r="H249" s="134"/>
      <c r="I249" s="134">
        <v>5</v>
      </c>
      <c r="J249" s="136"/>
      <c r="K249" s="138">
        <f>VLOOKUP(F249,Plan2!$1:$1048576,8,FALSE)</f>
        <v>9.9</v>
      </c>
      <c r="L249" s="136">
        <v>42759</v>
      </c>
      <c r="M249" s="134" t="s">
        <v>416</v>
      </c>
      <c r="N249" s="134">
        <v>5</v>
      </c>
      <c r="O249" s="138">
        <f t="shared" si="4"/>
        <v>49.5</v>
      </c>
      <c r="P249" s="169">
        <v>42838</v>
      </c>
      <c r="Q249" s="168" t="s">
        <v>603</v>
      </c>
      <c r="R249" s="134">
        <v>339030</v>
      </c>
      <c r="S249" s="134">
        <v>35</v>
      </c>
      <c r="T249" s="134" t="s">
        <v>601</v>
      </c>
      <c r="U249" s="141"/>
    </row>
    <row r="250" spans="1:21" ht="46.5" customHeight="1" x14ac:dyDescent="0.25">
      <c r="A250" s="134" t="s">
        <v>380</v>
      </c>
      <c r="B250" s="134" t="s">
        <v>23</v>
      </c>
      <c r="C250" s="134" t="s">
        <v>381</v>
      </c>
      <c r="D250" s="135">
        <v>280300</v>
      </c>
      <c r="E250" s="134" t="s">
        <v>407</v>
      </c>
      <c r="F250" s="134">
        <v>54</v>
      </c>
      <c r="G250" s="153" t="s">
        <v>444</v>
      </c>
      <c r="H250" s="134"/>
      <c r="I250" s="134">
        <v>4</v>
      </c>
      <c r="J250" s="136"/>
      <c r="K250" s="138">
        <f>VLOOKUP(F250,Plan2!$1:$1048576,8,FALSE)</f>
        <v>3.99</v>
      </c>
      <c r="L250" s="136">
        <v>42759</v>
      </c>
      <c r="M250" s="134" t="s">
        <v>416</v>
      </c>
      <c r="N250" s="134">
        <v>4</v>
      </c>
      <c r="O250" s="138">
        <f t="shared" si="4"/>
        <v>15.96</v>
      </c>
      <c r="P250" s="169">
        <v>42838</v>
      </c>
      <c r="Q250" s="168" t="s">
        <v>603</v>
      </c>
      <c r="R250" s="134">
        <v>339030</v>
      </c>
      <c r="S250" s="134">
        <v>35</v>
      </c>
      <c r="T250" s="134" t="s">
        <v>601</v>
      </c>
      <c r="U250" s="141"/>
    </row>
    <row r="251" spans="1:21" ht="46.5" customHeight="1" x14ac:dyDescent="0.25">
      <c r="A251" s="134" t="s">
        <v>380</v>
      </c>
      <c r="B251" s="134" t="s">
        <v>23</v>
      </c>
      <c r="C251" s="134" t="s">
        <v>381</v>
      </c>
      <c r="D251" s="135">
        <v>280300</v>
      </c>
      <c r="E251" s="134" t="s">
        <v>407</v>
      </c>
      <c r="F251" s="134">
        <v>55</v>
      </c>
      <c r="G251" s="153" t="s">
        <v>532</v>
      </c>
      <c r="H251" s="134"/>
      <c r="I251" s="134">
        <v>2</v>
      </c>
      <c r="J251" s="136"/>
      <c r="K251" s="138">
        <f>VLOOKUP(F251,Plan2!$1:$1048576,8,FALSE)</f>
        <v>4.2</v>
      </c>
      <c r="L251" s="136">
        <v>42759</v>
      </c>
      <c r="M251" s="134" t="s">
        <v>416</v>
      </c>
      <c r="N251" s="134">
        <v>2</v>
      </c>
      <c r="O251" s="138">
        <f t="shared" si="4"/>
        <v>8.4</v>
      </c>
      <c r="P251" s="169">
        <v>42838</v>
      </c>
      <c r="Q251" s="168" t="s">
        <v>603</v>
      </c>
      <c r="R251" s="134">
        <v>339030</v>
      </c>
      <c r="S251" s="134">
        <v>35</v>
      </c>
      <c r="T251" s="134" t="s">
        <v>601</v>
      </c>
      <c r="U251" s="141"/>
    </row>
    <row r="252" spans="1:21" ht="46.5" customHeight="1" x14ac:dyDescent="0.25">
      <c r="A252" s="134" t="s">
        <v>380</v>
      </c>
      <c r="B252" s="134" t="s">
        <v>23</v>
      </c>
      <c r="C252" s="134" t="s">
        <v>381</v>
      </c>
      <c r="D252" s="135">
        <v>280300</v>
      </c>
      <c r="E252" s="134" t="s">
        <v>407</v>
      </c>
      <c r="F252" s="134">
        <v>56</v>
      </c>
      <c r="G252" s="153" t="s">
        <v>445</v>
      </c>
      <c r="H252" s="134"/>
      <c r="I252" s="134">
        <v>4</v>
      </c>
      <c r="J252" s="136"/>
      <c r="K252" s="138">
        <f>VLOOKUP(F252,Plan2!$1:$1048576,8,FALSE)</f>
        <v>7.2</v>
      </c>
      <c r="L252" s="136">
        <v>42759</v>
      </c>
      <c r="M252" s="134" t="s">
        <v>416</v>
      </c>
      <c r="N252" s="134">
        <v>4</v>
      </c>
      <c r="O252" s="138">
        <f t="shared" ref="O252:O255" si="6">N252*K252</f>
        <v>28.8</v>
      </c>
      <c r="P252" s="169">
        <v>42838</v>
      </c>
      <c r="Q252" s="168" t="s">
        <v>603</v>
      </c>
      <c r="R252" s="134">
        <v>339030</v>
      </c>
      <c r="S252" s="134">
        <v>35</v>
      </c>
      <c r="T252" s="134" t="s">
        <v>601</v>
      </c>
      <c r="U252" s="141"/>
    </row>
    <row r="253" spans="1:21" ht="46.5" customHeight="1" x14ac:dyDescent="0.25">
      <c r="A253" s="134" t="s">
        <v>380</v>
      </c>
      <c r="B253" s="134" t="s">
        <v>23</v>
      </c>
      <c r="C253" s="134" t="s">
        <v>381</v>
      </c>
      <c r="D253" s="135">
        <v>280300</v>
      </c>
      <c r="E253" s="134" t="s">
        <v>407</v>
      </c>
      <c r="F253" s="134">
        <v>124</v>
      </c>
      <c r="G253" s="153" t="s">
        <v>454</v>
      </c>
      <c r="H253" s="134"/>
      <c r="I253" s="134">
        <v>10</v>
      </c>
      <c r="J253" s="136"/>
      <c r="K253" s="138">
        <f>VLOOKUP(F253,Plan2!$1:$1048576,8,FALSE)</f>
        <v>5.99</v>
      </c>
      <c r="L253" s="136">
        <v>42759</v>
      </c>
      <c r="M253" s="134" t="s">
        <v>416</v>
      </c>
      <c r="N253" s="134">
        <v>10</v>
      </c>
      <c r="O253" s="138">
        <f t="shared" si="6"/>
        <v>59.900000000000006</v>
      </c>
      <c r="P253" s="169">
        <v>42838</v>
      </c>
      <c r="Q253" s="168" t="s">
        <v>603</v>
      </c>
      <c r="R253" s="134">
        <v>339030</v>
      </c>
      <c r="S253" s="134">
        <v>35</v>
      </c>
      <c r="T253" s="134" t="s">
        <v>601</v>
      </c>
      <c r="U253" s="141"/>
    </row>
    <row r="254" spans="1:21" ht="46.5" customHeight="1" x14ac:dyDescent="0.25">
      <c r="A254" s="134" t="s">
        <v>380</v>
      </c>
      <c r="B254" s="134" t="s">
        <v>23</v>
      </c>
      <c r="C254" s="134" t="s">
        <v>381</v>
      </c>
      <c r="D254" s="135">
        <v>280300</v>
      </c>
      <c r="E254" s="134" t="s">
        <v>407</v>
      </c>
      <c r="F254" s="134">
        <v>145</v>
      </c>
      <c r="G254" s="153" t="s">
        <v>477</v>
      </c>
      <c r="H254" s="134"/>
      <c r="I254" s="134">
        <v>4</v>
      </c>
      <c r="J254" s="136"/>
      <c r="K254" s="138">
        <f>VLOOKUP(F254,Plan2!$1:$1048576,8,FALSE)</f>
        <v>4.51</v>
      </c>
      <c r="L254" s="136">
        <v>42759</v>
      </c>
      <c r="M254" s="134" t="s">
        <v>416</v>
      </c>
      <c r="N254" s="134">
        <v>4</v>
      </c>
      <c r="O254" s="138">
        <f t="shared" si="6"/>
        <v>18.04</v>
      </c>
      <c r="P254" s="169">
        <v>42838</v>
      </c>
      <c r="Q254" s="168" t="s">
        <v>603</v>
      </c>
      <c r="R254" s="134">
        <v>339030</v>
      </c>
      <c r="S254" s="134">
        <v>35</v>
      </c>
      <c r="T254" s="134" t="s">
        <v>601</v>
      </c>
      <c r="U254" s="141"/>
    </row>
    <row r="255" spans="1:21" ht="46.5" customHeight="1" x14ac:dyDescent="0.25">
      <c r="A255" s="134" t="s">
        <v>380</v>
      </c>
      <c r="B255" s="134" t="s">
        <v>23</v>
      </c>
      <c r="C255" s="134" t="s">
        <v>381</v>
      </c>
      <c r="D255" s="135">
        <v>280300</v>
      </c>
      <c r="E255" s="134" t="s">
        <v>407</v>
      </c>
      <c r="F255" s="134">
        <v>155</v>
      </c>
      <c r="G255" s="153" t="s">
        <v>511</v>
      </c>
      <c r="H255" s="134"/>
      <c r="I255" s="134">
        <v>5</v>
      </c>
      <c r="J255" s="136"/>
      <c r="K255" s="138">
        <f>VLOOKUP(F255,Plan2!$1:$1048576,8,FALSE)</f>
        <v>15.97</v>
      </c>
      <c r="L255" s="136">
        <v>42759</v>
      </c>
      <c r="M255" s="134" t="s">
        <v>416</v>
      </c>
      <c r="N255" s="134">
        <v>5</v>
      </c>
      <c r="O255" s="138">
        <f t="shared" si="6"/>
        <v>79.850000000000009</v>
      </c>
      <c r="P255" s="169">
        <v>42838</v>
      </c>
      <c r="Q255" s="168" t="s">
        <v>603</v>
      </c>
      <c r="R255" s="134">
        <v>339030</v>
      </c>
      <c r="S255" s="134">
        <v>35</v>
      </c>
      <c r="T255" s="134" t="s">
        <v>601</v>
      </c>
      <c r="U255" s="141"/>
    </row>
    <row r="256" spans="1:21" ht="46.5" customHeight="1" x14ac:dyDescent="0.25">
      <c r="A256" s="134" t="s">
        <v>380</v>
      </c>
      <c r="B256" s="134" t="s">
        <v>23</v>
      </c>
      <c r="C256" s="134" t="s">
        <v>381</v>
      </c>
      <c r="D256" s="135">
        <v>280300</v>
      </c>
      <c r="E256" s="134" t="s">
        <v>407</v>
      </c>
      <c r="F256" s="134">
        <v>119</v>
      </c>
      <c r="G256" s="153" t="s">
        <v>452</v>
      </c>
      <c r="H256" s="134"/>
      <c r="I256" s="134">
        <v>2</v>
      </c>
      <c r="J256" s="136"/>
      <c r="K256" s="138">
        <f>VLOOKUP(F256,Plan2!$1:$1048576,8,FALSE)</f>
        <v>204.99</v>
      </c>
      <c r="L256" s="136">
        <v>42759</v>
      </c>
      <c r="M256" s="134" t="s">
        <v>412</v>
      </c>
      <c r="N256" s="134">
        <v>2</v>
      </c>
      <c r="O256" s="138">
        <f t="shared" ref="O256:O315" si="7">N256*K256</f>
        <v>409.98</v>
      </c>
      <c r="P256" s="167">
        <v>42913</v>
      </c>
      <c r="Q256" s="181" t="s">
        <v>613</v>
      </c>
      <c r="R256" s="134">
        <v>339030</v>
      </c>
      <c r="S256" s="134">
        <v>35</v>
      </c>
      <c r="T256" s="134" t="s">
        <v>601</v>
      </c>
      <c r="U256" s="141"/>
    </row>
    <row r="257" spans="1:21" ht="46.5" customHeight="1" x14ac:dyDescent="0.25">
      <c r="A257" s="134" t="s">
        <v>380</v>
      </c>
      <c r="B257" s="134" t="s">
        <v>23</v>
      </c>
      <c r="C257" s="134" t="s">
        <v>381</v>
      </c>
      <c r="D257" s="135">
        <v>280300</v>
      </c>
      <c r="E257" s="134" t="s">
        <v>407</v>
      </c>
      <c r="F257" s="134">
        <v>87</v>
      </c>
      <c r="G257" s="153" t="s">
        <v>525</v>
      </c>
      <c r="H257" s="134"/>
      <c r="I257" s="134">
        <v>10</v>
      </c>
      <c r="J257" s="136"/>
      <c r="K257" s="138">
        <f>VLOOKUP(F257,Plan2!$1:$1048576,8,FALSE)</f>
        <v>7.29</v>
      </c>
      <c r="L257" s="136">
        <v>42759</v>
      </c>
      <c r="M257" s="134" t="s">
        <v>414</v>
      </c>
      <c r="N257" s="134">
        <v>10</v>
      </c>
      <c r="O257" s="138">
        <f t="shared" si="7"/>
        <v>72.900000000000006</v>
      </c>
      <c r="P257" s="178">
        <v>42894</v>
      </c>
      <c r="Q257" s="180" t="s">
        <v>602</v>
      </c>
      <c r="R257" s="134">
        <v>339030</v>
      </c>
      <c r="S257" s="134">
        <v>35</v>
      </c>
      <c r="T257" s="134" t="s">
        <v>601</v>
      </c>
      <c r="U257" s="141"/>
    </row>
    <row r="258" spans="1:21" ht="46.5" customHeight="1" x14ac:dyDescent="0.25">
      <c r="A258" s="134" t="s">
        <v>380</v>
      </c>
      <c r="B258" s="134" t="s">
        <v>23</v>
      </c>
      <c r="C258" s="134" t="s">
        <v>381</v>
      </c>
      <c r="D258" s="135">
        <v>280400</v>
      </c>
      <c r="E258" s="134" t="s">
        <v>408</v>
      </c>
      <c r="F258" s="134">
        <v>120</v>
      </c>
      <c r="G258" s="153" t="s">
        <v>453</v>
      </c>
      <c r="H258" s="134"/>
      <c r="I258" s="134">
        <v>5</v>
      </c>
      <c r="J258" s="136"/>
      <c r="K258" s="138">
        <f>VLOOKUP(F258,Plan2!$1:$1048576,8,FALSE)</f>
        <v>2.2000000000000002</v>
      </c>
      <c r="L258" s="136">
        <v>42759</v>
      </c>
      <c r="M258" s="134" t="s">
        <v>416</v>
      </c>
      <c r="N258" s="134">
        <v>5</v>
      </c>
      <c r="O258" s="138">
        <f t="shared" si="7"/>
        <v>11</v>
      </c>
      <c r="P258" s="169">
        <v>42838</v>
      </c>
      <c r="Q258" s="168" t="s">
        <v>603</v>
      </c>
      <c r="R258" s="134">
        <v>339030</v>
      </c>
      <c r="S258" s="134">
        <v>35</v>
      </c>
      <c r="T258" s="134" t="s">
        <v>601</v>
      </c>
      <c r="U258" s="141"/>
    </row>
    <row r="259" spans="1:21" ht="46.5" customHeight="1" x14ac:dyDescent="0.25">
      <c r="A259" s="134" t="s">
        <v>380</v>
      </c>
      <c r="B259" s="134" t="s">
        <v>23</v>
      </c>
      <c r="C259" s="134" t="s">
        <v>381</v>
      </c>
      <c r="D259" s="135">
        <v>280400</v>
      </c>
      <c r="E259" s="134" t="s">
        <v>408</v>
      </c>
      <c r="F259" s="134">
        <v>121</v>
      </c>
      <c r="G259" s="153" t="s">
        <v>470</v>
      </c>
      <c r="H259" s="134"/>
      <c r="I259" s="134">
        <v>5</v>
      </c>
      <c r="J259" s="136"/>
      <c r="K259" s="138">
        <f>VLOOKUP(F259,Plan2!$1:$1048576,8,FALSE)</f>
        <v>3.12</v>
      </c>
      <c r="L259" s="136">
        <v>42759</v>
      </c>
      <c r="M259" s="134" t="s">
        <v>413</v>
      </c>
      <c r="N259" s="134">
        <v>5</v>
      </c>
      <c r="O259" s="138">
        <f t="shared" si="7"/>
        <v>15.600000000000001</v>
      </c>
      <c r="P259" s="170">
        <v>42872</v>
      </c>
      <c r="Q259" s="172">
        <v>4648</v>
      </c>
      <c r="R259" s="134">
        <v>339030</v>
      </c>
      <c r="S259" s="134">
        <v>35</v>
      </c>
      <c r="T259" s="134" t="s">
        <v>601</v>
      </c>
      <c r="U259" s="141"/>
    </row>
    <row r="260" spans="1:21" ht="46.5" customHeight="1" x14ac:dyDescent="0.25">
      <c r="A260" s="134" t="s">
        <v>380</v>
      </c>
      <c r="B260" s="134" t="s">
        <v>23</v>
      </c>
      <c r="C260" s="134" t="s">
        <v>381</v>
      </c>
      <c r="D260" s="135">
        <v>280400</v>
      </c>
      <c r="E260" s="134" t="s">
        <v>408</v>
      </c>
      <c r="F260" s="134">
        <v>122</v>
      </c>
      <c r="G260" s="153" t="s">
        <v>471</v>
      </c>
      <c r="H260" s="134"/>
      <c r="I260" s="134">
        <v>5</v>
      </c>
      <c r="J260" s="136"/>
      <c r="K260" s="138">
        <f>VLOOKUP(F260,Plan2!$1:$1048576,8,FALSE)</f>
        <v>2.78</v>
      </c>
      <c r="L260" s="136">
        <v>42759</v>
      </c>
      <c r="M260" s="134" t="s">
        <v>416</v>
      </c>
      <c r="N260" s="134">
        <v>5</v>
      </c>
      <c r="O260" s="138">
        <f t="shared" si="7"/>
        <v>13.899999999999999</v>
      </c>
      <c r="P260" s="169">
        <v>42838</v>
      </c>
      <c r="Q260" s="168" t="s">
        <v>603</v>
      </c>
      <c r="R260" s="134">
        <v>339030</v>
      </c>
      <c r="S260" s="134">
        <v>35</v>
      </c>
      <c r="T260" s="134" t="s">
        <v>601</v>
      </c>
      <c r="U260" s="141"/>
    </row>
    <row r="261" spans="1:21" ht="46.5" customHeight="1" x14ac:dyDescent="0.25">
      <c r="A261" s="134" t="s">
        <v>380</v>
      </c>
      <c r="B261" s="134" t="s">
        <v>23</v>
      </c>
      <c r="C261" s="134" t="s">
        <v>381</v>
      </c>
      <c r="D261" s="135">
        <v>280400</v>
      </c>
      <c r="E261" s="134" t="s">
        <v>408</v>
      </c>
      <c r="F261" s="134">
        <v>123</v>
      </c>
      <c r="G261" s="153" t="s">
        <v>472</v>
      </c>
      <c r="H261" s="134"/>
      <c r="I261" s="134">
        <v>5</v>
      </c>
      <c r="J261" s="136"/>
      <c r="K261" s="138">
        <f>VLOOKUP(F261,Plan2!$1:$1048576,8,FALSE)</f>
        <v>3.68</v>
      </c>
      <c r="L261" s="136">
        <v>42759</v>
      </c>
      <c r="M261" s="134" t="s">
        <v>416</v>
      </c>
      <c r="N261" s="134">
        <v>5</v>
      </c>
      <c r="O261" s="138">
        <f t="shared" si="7"/>
        <v>18.400000000000002</v>
      </c>
      <c r="P261" s="169">
        <v>42838</v>
      </c>
      <c r="Q261" s="168" t="s">
        <v>603</v>
      </c>
      <c r="R261" s="134">
        <v>339030</v>
      </c>
      <c r="S261" s="134">
        <v>35</v>
      </c>
      <c r="T261" s="134" t="s">
        <v>601</v>
      </c>
      <c r="U261" s="141"/>
    </row>
    <row r="262" spans="1:21" ht="46.5" customHeight="1" x14ac:dyDescent="0.25">
      <c r="A262" s="134" t="s">
        <v>380</v>
      </c>
      <c r="B262" s="134" t="s">
        <v>23</v>
      </c>
      <c r="C262" s="134" t="s">
        <v>381</v>
      </c>
      <c r="D262" s="135">
        <v>280400</v>
      </c>
      <c r="E262" s="134" t="s">
        <v>408</v>
      </c>
      <c r="F262" s="134">
        <v>126</v>
      </c>
      <c r="G262" s="153" t="s">
        <v>507</v>
      </c>
      <c r="H262" s="134"/>
      <c r="I262" s="134">
        <v>5</v>
      </c>
      <c r="J262" s="136"/>
      <c r="K262" s="134">
        <f>VLOOKUP(F262,Plan2!$1:$1048576,8,FALSE)</f>
        <v>8.2899999999999991</v>
      </c>
      <c r="L262" s="136">
        <v>42759</v>
      </c>
      <c r="M262" s="134" t="s">
        <v>416</v>
      </c>
      <c r="N262" s="134">
        <v>5</v>
      </c>
      <c r="O262" s="138">
        <f t="shared" si="7"/>
        <v>41.449999999999996</v>
      </c>
      <c r="P262" s="169">
        <v>42838</v>
      </c>
      <c r="Q262" s="168" t="s">
        <v>603</v>
      </c>
      <c r="R262" s="134">
        <v>339030</v>
      </c>
      <c r="S262" s="134">
        <v>35</v>
      </c>
      <c r="T262" s="134" t="s">
        <v>601</v>
      </c>
      <c r="U262" s="141"/>
    </row>
    <row r="263" spans="1:21" ht="46.5" customHeight="1" x14ac:dyDescent="0.25">
      <c r="A263" s="134" t="s">
        <v>380</v>
      </c>
      <c r="B263" s="134" t="s">
        <v>23</v>
      </c>
      <c r="C263" s="134" t="s">
        <v>381</v>
      </c>
      <c r="D263" s="135">
        <v>290000</v>
      </c>
      <c r="E263" s="134" t="s">
        <v>203</v>
      </c>
      <c r="F263" s="134">
        <v>33</v>
      </c>
      <c r="G263" s="153" t="s">
        <v>514</v>
      </c>
      <c r="H263" s="134"/>
      <c r="I263" s="134">
        <v>2</v>
      </c>
      <c r="J263" s="136"/>
      <c r="K263" s="138">
        <f>VLOOKUP(F263,Plan2!$1:$1048576,8,FALSE)</f>
        <v>18.95</v>
      </c>
      <c r="L263" s="136">
        <v>42759</v>
      </c>
      <c r="M263" s="134" t="s">
        <v>416</v>
      </c>
      <c r="N263" s="134">
        <v>2</v>
      </c>
      <c r="O263" s="138">
        <f t="shared" si="7"/>
        <v>37.9</v>
      </c>
      <c r="P263" s="169">
        <v>42838</v>
      </c>
      <c r="Q263" s="168" t="s">
        <v>603</v>
      </c>
      <c r="R263" s="134">
        <v>339030</v>
      </c>
      <c r="S263" s="134">
        <v>35</v>
      </c>
      <c r="T263" s="134" t="s">
        <v>601</v>
      </c>
      <c r="U263" s="141"/>
    </row>
    <row r="264" spans="1:21" ht="46.5" customHeight="1" x14ac:dyDescent="0.25">
      <c r="A264" s="134" t="s">
        <v>380</v>
      </c>
      <c r="B264" s="134" t="s">
        <v>23</v>
      </c>
      <c r="C264" s="134" t="s">
        <v>381</v>
      </c>
      <c r="D264" s="135">
        <v>290000</v>
      </c>
      <c r="E264" s="134" t="s">
        <v>203</v>
      </c>
      <c r="F264" s="134">
        <v>34</v>
      </c>
      <c r="G264" s="153" t="s">
        <v>522</v>
      </c>
      <c r="H264" s="134"/>
      <c r="I264" s="134">
        <v>2</v>
      </c>
      <c r="J264" s="136"/>
      <c r="K264" s="138">
        <f>VLOOKUP(F264,Plan2!$1:$1048576,8,FALSE)</f>
        <v>22.55</v>
      </c>
      <c r="L264" s="136">
        <v>42759</v>
      </c>
      <c r="M264" s="134" t="s">
        <v>416</v>
      </c>
      <c r="N264" s="134">
        <v>2</v>
      </c>
      <c r="O264" s="138">
        <f t="shared" si="7"/>
        <v>45.1</v>
      </c>
      <c r="P264" s="169">
        <v>42838</v>
      </c>
      <c r="Q264" s="168" t="s">
        <v>603</v>
      </c>
      <c r="R264" s="134">
        <v>339030</v>
      </c>
      <c r="S264" s="134">
        <v>35</v>
      </c>
      <c r="T264" s="134" t="s">
        <v>601</v>
      </c>
      <c r="U264" s="141"/>
    </row>
    <row r="265" spans="1:21" ht="46.5" customHeight="1" x14ac:dyDescent="0.25">
      <c r="A265" s="134" t="s">
        <v>380</v>
      </c>
      <c r="B265" s="134" t="s">
        <v>23</v>
      </c>
      <c r="C265" s="134" t="s">
        <v>381</v>
      </c>
      <c r="D265" s="135">
        <v>290000</v>
      </c>
      <c r="E265" s="134" t="s">
        <v>203</v>
      </c>
      <c r="F265" s="134">
        <v>35</v>
      </c>
      <c r="G265" s="153" t="s">
        <v>523</v>
      </c>
      <c r="H265" s="134"/>
      <c r="I265" s="134">
        <v>2</v>
      </c>
      <c r="J265" s="136"/>
      <c r="K265" s="138">
        <f>VLOOKUP(F265,Plan2!$1:$1048576,8,FALSE)</f>
        <v>29.55</v>
      </c>
      <c r="L265" s="136">
        <v>42760</v>
      </c>
      <c r="M265" s="134" t="s">
        <v>415</v>
      </c>
      <c r="N265" s="134">
        <v>2</v>
      </c>
      <c r="O265" s="138">
        <f t="shared" si="7"/>
        <v>59.1</v>
      </c>
      <c r="P265" s="167">
        <v>42838</v>
      </c>
      <c r="Q265" s="168" t="s">
        <v>605</v>
      </c>
      <c r="R265" s="134">
        <v>339030</v>
      </c>
      <c r="S265" s="134">
        <v>35</v>
      </c>
      <c r="T265" s="134" t="s">
        <v>601</v>
      </c>
      <c r="U265" s="141"/>
    </row>
    <row r="266" spans="1:21" ht="46.5" customHeight="1" x14ac:dyDescent="0.25">
      <c r="A266" s="134" t="s">
        <v>380</v>
      </c>
      <c r="B266" s="134" t="s">
        <v>23</v>
      </c>
      <c r="C266" s="134" t="s">
        <v>381</v>
      </c>
      <c r="D266" s="135">
        <v>290000</v>
      </c>
      <c r="E266" s="134" t="s">
        <v>203</v>
      </c>
      <c r="F266" s="134">
        <v>37</v>
      </c>
      <c r="G266" s="153" t="s">
        <v>438</v>
      </c>
      <c r="H266" s="134"/>
      <c r="I266" s="134">
        <v>2</v>
      </c>
      <c r="J266" s="136"/>
      <c r="K266" s="138">
        <f>VLOOKUP(F266,Plan2!$1:$1048576,8,FALSE)</f>
        <v>6.88</v>
      </c>
      <c r="L266" s="136">
        <v>42759</v>
      </c>
      <c r="M266" s="134" t="s">
        <v>416</v>
      </c>
      <c r="N266" s="134">
        <v>2</v>
      </c>
      <c r="O266" s="138">
        <f t="shared" si="7"/>
        <v>13.76</v>
      </c>
      <c r="P266" s="169">
        <v>42838</v>
      </c>
      <c r="Q266" s="168" t="s">
        <v>603</v>
      </c>
      <c r="R266" s="134">
        <v>3390</v>
      </c>
      <c r="S266" s="134">
        <v>35</v>
      </c>
      <c r="T266" s="134" t="s">
        <v>601</v>
      </c>
      <c r="U266" s="141"/>
    </row>
    <row r="267" spans="1:21" ht="46.5" customHeight="1" x14ac:dyDescent="0.25">
      <c r="A267" s="134" t="s">
        <v>380</v>
      </c>
      <c r="B267" s="134" t="s">
        <v>23</v>
      </c>
      <c r="C267" s="134" t="s">
        <v>381</v>
      </c>
      <c r="D267" s="135">
        <v>290000</v>
      </c>
      <c r="E267" s="134" t="s">
        <v>203</v>
      </c>
      <c r="F267" s="134">
        <v>71</v>
      </c>
      <c r="G267" s="153" t="s">
        <v>517</v>
      </c>
      <c r="H267" s="134"/>
      <c r="I267" s="134">
        <v>5</v>
      </c>
      <c r="J267" s="136"/>
      <c r="K267" s="138">
        <f>VLOOKUP(F267,Plan2!$1:$1048576,8,FALSE)</f>
        <v>4.95</v>
      </c>
      <c r="L267" s="136">
        <v>42759</v>
      </c>
      <c r="M267" s="134" t="s">
        <v>416</v>
      </c>
      <c r="N267" s="134">
        <v>5</v>
      </c>
      <c r="O267" s="138">
        <f t="shared" si="7"/>
        <v>24.75</v>
      </c>
      <c r="P267" s="169">
        <v>42838</v>
      </c>
      <c r="Q267" s="168" t="s">
        <v>603</v>
      </c>
      <c r="R267" s="134">
        <v>339030</v>
      </c>
      <c r="S267" s="134">
        <v>35</v>
      </c>
      <c r="T267" s="134" t="s">
        <v>614</v>
      </c>
      <c r="U267" s="141"/>
    </row>
    <row r="268" spans="1:21" ht="46.5" customHeight="1" x14ac:dyDescent="0.25">
      <c r="A268" s="134" t="s">
        <v>380</v>
      </c>
      <c r="B268" s="134" t="s">
        <v>23</v>
      </c>
      <c r="C268" s="134" t="s">
        <v>381</v>
      </c>
      <c r="D268" s="135">
        <v>290000</v>
      </c>
      <c r="E268" s="134" t="s">
        <v>203</v>
      </c>
      <c r="F268" s="134">
        <v>110</v>
      </c>
      <c r="G268" s="153" t="s">
        <v>485</v>
      </c>
      <c r="H268" s="134"/>
      <c r="I268" s="134">
        <v>2</v>
      </c>
      <c r="J268" s="136"/>
      <c r="K268" s="134">
        <f>VLOOKUP(F268,Plan2!$1:$1048576,8,FALSE)</f>
        <v>114.99</v>
      </c>
      <c r="L268" s="136"/>
      <c r="M268" s="134"/>
      <c r="N268" s="134"/>
      <c r="O268" s="138">
        <f t="shared" si="7"/>
        <v>0</v>
      </c>
      <c r="P268" s="170"/>
      <c r="Q268" s="172"/>
      <c r="R268" s="134"/>
      <c r="S268" s="134"/>
      <c r="T268" s="134" t="s">
        <v>403</v>
      </c>
      <c r="U268" s="141"/>
    </row>
    <row r="269" spans="1:21" ht="46.5" customHeight="1" x14ac:dyDescent="0.25">
      <c r="A269" s="134" t="s">
        <v>380</v>
      </c>
      <c r="B269" s="134" t="s">
        <v>23</v>
      </c>
      <c r="C269" s="134" t="s">
        <v>381</v>
      </c>
      <c r="D269" s="135">
        <v>290000</v>
      </c>
      <c r="E269" s="134" t="s">
        <v>203</v>
      </c>
      <c r="F269" s="134">
        <v>112</v>
      </c>
      <c r="G269" s="153" t="s">
        <v>456</v>
      </c>
      <c r="H269" s="134"/>
      <c r="I269" s="134">
        <v>2</v>
      </c>
      <c r="J269" s="136"/>
      <c r="K269" s="138">
        <f>VLOOKUP(F269,Plan2!$1:$1048576,8,FALSE)</f>
        <v>335</v>
      </c>
      <c r="L269" s="136">
        <v>42759</v>
      </c>
      <c r="M269" s="134" t="s">
        <v>416</v>
      </c>
      <c r="N269" s="134">
        <v>2</v>
      </c>
      <c r="O269" s="138">
        <f t="shared" si="7"/>
        <v>670</v>
      </c>
      <c r="P269" s="169">
        <v>42838</v>
      </c>
      <c r="Q269" s="168" t="s">
        <v>603</v>
      </c>
      <c r="R269" s="134">
        <v>339030</v>
      </c>
      <c r="S269" s="134">
        <v>35</v>
      </c>
      <c r="T269" s="134" t="s">
        <v>601</v>
      </c>
      <c r="U269" s="141"/>
    </row>
    <row r="270" spans="1:21" ht="46.5" customHeight="1" x14ac:dyDescent="0.25">
      <c r="A270" s="134" t="s">
        <v>380</v>
      </c>
      <c r="B270" s="134" t="s">
        <v>23</v>
      </c>
      <c r="C270" s="134" t="s">
        <v>381</v>
      </c>
      <c r="D270" s="135">
        <v>290000</v>
      </c>
      <c r="E270" s="134" t="s">
        <v>203</v>
      </c>
      <c r="F270" s="134">
        <v>116</v>
      </c>
      <c r="G270" s="153" t="s">
        <v>506</v>
      </c>
      <c r="H270" s="134"/>
      <c r="I270" s="134">
        <v>100</v>
      </c>
      <c r="J270" s="136"/>
      <c r="K270" s="138">
        <f>VLOOKUP(F270,Plan2!$1:$1048576,8,FALSE)</f>
        <v>4.84</v>
      </c>
      <c r="L270" s="136">
        <v>42759</v>
      </c>
      <c r="M270" s="134" t="s">
        <v>416</v>
      </c>
      <c r="N270" s="134">
        <v>100</v>
      </c>
      <c r="O270" s="138">
        <f t="shared" si="7"/>
        <v>484</v>
      </c>
      <c r="P270" s="169">
        <v>42838</v>
      </c>
      <c r="Q270" s="168" t="s">
        <v>603</v>
      </c>
      <c r="R270" s="134">
        <v>339030</v>
      </c>
      <c r="S270" s="134">
        <v>35</v>
      </c>
      <c r="T270" s="134" t="s">
        <v>601</v>
      </c>
      <c r="U270" s="141"/>
    </row>
    <row r="271" spans="1:21" ht="46.5" customHeight="1" x14ac:dyDescent="0.25">
      <c r="A271" s="134" t="s">
        <v>380</v>
      </c>
      <c r="B271" s="134" t="s">
        <v>23</v>
      </c>
      <c r="C271" s="134" t="s">
        <v>381</v>
      </c>
      <c r="D271" s="135">
        <v>290000</v>
      </c>
      <c r="E271" s="134" t="s">
        <v>203</v>
      </c>
      <c r="F271" s="134">
        <v>120</v>
      </c>
      <c r="G271" s="153" t="s">
        <v>453</v>
      </c>
      <c r="H271" s="134"/>
      <c r="I271" s="134">
        <v>2</v>
      </c>
      <c r="J271" s="136"/>
      <c r="K271" s="138">
        <f>VLOOKUP(F271,Plan2!$1:$1048576,8,FALSE)</f>
        <v>2.2000000000000002</v>
      </c>
      <c r="L271" s="136">
        <v>42759</v>
      </c>
      <c r="M271" s="134" t="s">
        <v>416</v>
      </c>
      <c r="N271" s="134">
        <v>2</v>
      </c>
      <c r="O271" s="138">
        <f t="shared" si="7"/>
        <v>4.4000000000000004</v>
      </c>
      <c r="P271" s="169">
        <v>42838</v>
      </c>
      <c r="Q271" s="168" t="s">
        <v>603</v>
      </c>
      <c r="R271" s="134">
        <v>339030</v>
      </c>
      <c r="S271" s="134">
        <v>35</v>
      </c>
      <c r="T271" s="134" t="s">
        <v>601</v>
      </c>
      <c r="U271" s="141"/>
    </row>
    <row r="272" spans="1:21" ht="46.5" customHeight="1" x14ac:dyDescent="0.25">
      <c r="A272" s="134" t="s">
        <v>380</v>
      </c>
      <c r="B272" s="134" t="s">
        <v>23</v>
      </c>
      <c r="C272" s="134" t="s">
        <v>381</v>
      </c>
      <c r="D272" s="135">
        <v>290000</v>
      </c>
      <c r="E272" s="134" t="s">
        <v>203</v>
      </c>
      <c r="F272" s="134">
        <v>128</v>
      </c>
      <c r="G272" s="153" t="s">
        <v>508</v>
      </c>
      <c r="H272" s="134"/>
      <c r="I272" s="134">
        <v>6</v>
      </c>
      <c r="J272" s="136"/>
      <c r="K272" s="138">
        <f>VLOOKUP(F272,Plan2!$1:$1048576,8,FALSE)</f>
        <v>117.77</v>
      </c>
      <c r="L272" s="136">
        <v>42759</v>
      </c>
      <c r="M272" s="134" t="s">
        <v>416</v>
      </c>
      <c r="N272" s="134">
        <v>6</v>
      </c>
      <c r="O272" s="138">
        <f t="shared" si="7"/>
        <v>706.62</v>
      </c>
      <c r="P272" s="169">
        <v>42838</v>
      </c>
      <c r="Q272" s="168" t="s">
        <v>603</v>
      </c>
      <c r="R272" s="134">
        <v>339030</v>
      </c>
      <c r="S272" s="134">
        <v>35</v>
      </c>
      <c r="T272" s="134" t="s">
        <v>601</v>
      </c>
      <c r="U272" s="141"/>
    </row>
    <row r="273" spans="1:21" ht="46.5" customHeight="1" x14ac:dyDescent="0.25">
      <c r="A273" s="134" t="s">
        <v>380</v>
      </c>
      <c r="B273" s="134" t="s">
        <v>23</v>
      </c>
      <c r="C273" s="134" t="s">
        <v>381</v>
      </c>
      <c r="D273" s="135">
        <v>290000</v>
      </c>
      <c r="E273" s="134" t="s">
        <v>203</v>
      </c>
      <c r="F273" s="134">
        <v>130</v>
      </c>
      <c r="G273" s="153" t="s">
        <v>537</v>
      </c>
      <c r="H273" s="134"/>
      <c r="I273" s="134">
        <v>100</v>
      </c>
      <c r="J273" s="136"/>
      <c r="K273" s="138">
        <f>VLOOKUP(F273,Plan2!$1:$1048576,8,FALSE)</f>
        <v>1.48</v>
      </c>
      <c r="L273" s="136">
        <v>42759</v>
      </c>
      <c r="M273" s="134" t="s">
        <v>416</v>
      </c>
      <c r="N273" s="134">
        <v>60</v>
      </c>
      <c r="O273" s="138">
        <f t="shared" si="7"/>
        <v>88.8</v>
      </c>
      <c r="P273" s="169">
        <v>42838</v>
      </c>
      <c r="Q273" s="168" t="s">
        <v>603</v>
      </c>
      <c r="R273" s="134">
        <v>339030</v>
      </c>
      <c r="S273" s="134">
        <v>35</v>
      </c>
      <c r="T273" s="134" t="s">
        <v>614</v>
      </c>
      <c r="U273" s="141"/>
    </row>
    <row r="274" spans="1:21" ht="46.5" customHeight="1" x14ac:dyDescent="0.25">
      <c r="A274" s="134" t="s">
        <v>380</v>
      </c>
      <c r="B274" s="134" t="s">
        <v>23</v>
      </c>
      <c r="C274" s="134" t="s">
        <v>381</v>
      </c>
      <c r="D274" s="135">
        <v>290000</v>
      </c>
      <c r="E274" s="134" t="s">
        <v>203</v>
      </c>
      <c r="F274" s="134">
        <v>38</v>
      </c>
      <c r="G274" s="153" t="s">
        <v>439</v>
      </c>
      <c r="H274" s="134"/>
      <c r="I274" s="134">
        <v>2</v>
      </c>
      <c r="J274" s="136"/>
      <c r="K274" s="138">
        <f>VLOOKUP(F274,Plan2!$1:$1048576,8,FALSE)</f>
        <v>14.88</v>
      </c>
      <c r="L274" s="136">
        <v>42759</v>
      </c>
      <c r="M274" s="134" t="s">
        <v>416</v>
      </c>
      <c r="N274" s="134">
        <v>2</v>
      </c>
      <c r="O274" s="138">
        <f t="shared" si="7"/>
        <v>29.76</v>
      </c>
      <c r="P274" s="169">
        <v>42838</v>
      </c>
      <c r="Q274" s="168" t="s">
        <v>603</v>
      </c>
      <c r="R274" s="134">
        <v>339030</v>
      </c>
      <c r="S274" s="134">
        <v>35</v>
      </c>
      <c r="T274" s="134" t="s">
        <v>601</v>
      </c>
      <c r="U274" s="141"/>
    </row>
    <row r="275" spans="1:21" ht="46.5" customHeight="1" x14ac:dyDescent="0.25">
      <c r="A275" s="134" t="s">
        <v>380</v>
      </c>
      <c r="B275" s="134" t="s">
        <v>23</v>
      </c>
      <c r="C275" s="134" t="s">
        <v>381</v>
      </c>
      <c r="D275" s="135">
        <v>290000</v>
      </c>
      <c r="E275" s="134" t="s">
        <v>203</v>
      </c>
      <c r="F275" s="134">
        <v>40</v>
      </c>
      <c r="G275" s="153" t="s">
        <v>494</v>
      </c>
      <c r="H275" s="134"/>
      <c r="I275" s="134">
        <v>2</v>
      </c>
      <c r="J275" s="136"/>
      <c r="K275" s="138">
        <f>VLOOKUP(F275,Plan2!$1:$1048576,8,FALSE)</f>
        <v>5.07</v>
      </c>
      <c r="L275" s="136">
        <v>42759</v>
      </c>
      <c r="M275" s="134" t="s">
        <v>416</v>
      </c>
      <c r="N275" s="134">
        <v>2</v>
      </c>
      <c r="O275" s="138">
        <f t="shared" si="7"/>
        <v>10.14</v>
      </c>
      <c r="P275" s="169">
        <v>42838</v>
      </c>
      <c r="Q275" s="168" t="s">
        <v>603</v>
      </c>
      <c r="R275" s="134">
        <v>339030</v>
      </c>
      <c r="S275" s="134">
        <v>35</v>
      </c>
      <c r="T275" s="134" t="s">
        <v>601</v>
      </c>
      <c r="U275" s="141"/>
    </row>
    <row r="276" spans="1:21" ht="46.5" customHeight="1" x14ac:dyDescent="0.25">
      <c r="A276" s="134" t="s">
        <v>380</v>
      </c>
      <c r="B276" s="134" t="s">
        <v>23</v>
      </c>
      <c r="C276" s="134" t="s">
        <v>381</v>
      </c>
      <c r="D276" s="135">
        <v>290000</v>
      </c>
      <c r="E276" s="134" t="s">
        <v>203</v>
      </c>
      <c r="F276" s="134">
        <v>41</v>
      </c>
      <c r="G276" s="153" t="s">
        <v>479</v>
      </c>
      <c r="H276" s="134"/>
      <c r="I276" s="134">
        <v>2</v>
      </c>
      <c r="J276" s="136"/>
      <c r="K276" s="138">
        <f>VLOOKUP(F276,Plan2!$1:$1048576,8,FALSE)</f>
        <v>14</v>
      </c>
      <c r="L276" s="136">
        <v>42759</v>
      </c>
      <c r="M276" s="134" t="s">
        <v>416</v>
      </c>
      <c r="N276" s="134">
        <v>2</v>
      </c>
      <c r="O276" s="138">
        <f t="shared" si="7"/>
        <v>28</v>
      </c>
      <c r="P276" s="169">
        <v>42838</v>
      </c>
      <c r="Q276" s="168" t="s">
        <v>603</v>
      </c>
      <c r="R276" s="134">
        <v>339030</v>
      </c>
      <c r="S276" s="134">
        <v>35</v>
      </c>
      <c r="T276" s="134" t="s">
        <v>601</v>
      </c>
      <c r="U276" s="141"/>
    </row>
    <row r="277" spans="1:21" ht="46.5" customHeight="1" x14ac:dyDescent="0.25">
      <c r="A277" s="134" t="s">
        <v>380</v>
      </c>
      <c r="B277" s="134" t="s">
        <v>23</v>
      </c>
      <c r="C277" s="134" t="s">
        <v>381</v>
      </c>
      <c r="D277" s="135">
        <v>290000</v>
      </c>
      <c r="E277" s="134" t="s">
        <v>203</v>
      </c>
      <c r="F277" s="134">
        <v>119</v>
      </c>
      <c r="G277" s="153" t="s">
        <v>452</v>
      </c>
      <c r="H277" s="134"/>
      <c r="I277" s="134">
        <v>2</v>
      </c>
      <c r="J277" s="136"/>
      <c r="K277" s="138">
        <f>VLOOKUP(F277,Plan2!$1:$1048576,8,FALSE)</f>
        <v>204.99</v>
      </c>
      <c r="L277" s="136">
        <v>42759</v>
      </c>
      <c r="M277" s="134" t="s">
        <v>412</v>
      </c>
      <c r="N277" s="134">
        <v>2</v>
      </c>
      <c r="O277" s="138">
        <f t="shared" si="7"/>
        <v>409.98</v>
      </c>
      <c r="P277" s="167">
        <v>42913</v>
      </c>
      <c r="Q277" s="181" t="s">
        <v>613</v>
      </c>
      <c r="R277" s="134">
        <v>339030</v>
      </c>
      <c r="S277" s="134">
        <v>35</v>
      </c>
      <c r="T277" s="134" t="s">
        <v>601</v>
      </c>
      <c r="U277" s="141"/>
    </row>
    <row r="278" spans="1:21" ht="46.5" customHeight="1" x14ac:dyDescent="0.25">
      <c r="A278" s="134" t="s">
        <v>206</v>
      </c>
      <c r="B278" s="142" t="s">
        <v>417</v>
      </c>
      <c r="C278" s="134" t="s">
        <v>418</v>
      </c>
      <c r="D278" s="143">
        <v>180000</v>
      </c>
      <c r="E278" s="144" t="s">
        <v>18</v>
      </c>
      <c r="F278" s="144">
        <v>164</v>
      </c>
      <c r="G278" s="153" t="s">
        <v>538</v>
      </c>
      <c r="H278" s="145"/>
      <c r="I278" s="144">
        <v>200</v>
      </c>
      <c r="J278" s="146"/>
      <c r="K278" s="147">
        <f>VLOOKUP(F278,plan3!A:H,8,FALSE)</f>
        <v>0.28000000000000003</v>
      </c>
      <c r="L278" s="146">
        <v>42835</v>
      </c>
      <c r="M278" s="144" t="s">
        <v>425</v>
      </c>
      <c r="N278" s="144">
        <v>200</v>
      </c>
      <c r="O278" s="147">
        <f t="shared" si="7"/>
        <v>56.000000000000007</v>
      </c>
      <c r="P278" s="167">
        <v>42895</v>
      </c>
      <c r="Q278" s="148" t="s">
        <v>619</v>
      </c>
      <c r="R278" s="134">
        <v>339030</v>
      </c>
      <c r="S278" s="134">
        <v>35</v>
      </c>
      <c r="T278" s="134" t="s">
        <v>601</v>
      </c>
      <c r="U278" s="141"/>
    </row>
    <row r="279" spans="1:21" ht="46.5" customHeight="1" x14ac:dyDescent="0.25">
      <c r="A279" s="134" t="s">
        <v>206</v>
      </c>
      <c r="B279" s="142" t="s">
        <v>417</v>
      </c>
      <c r="C279" s="134" t="s">
        <v>418</v>
      </c>
      <c r="D279" s="143">
        <v>180000</v>
      </c>
      <c r="E279" s="144" t="s">
        <v>18</v>
      </c>
      <c r="F279" s="144">
        <v>13</v>
      </c>
      <c r="G279" s="153" t="s">
        <v>539</v>
      </c>
      <c r="H279" s="145"/>
      <c r="I279" s="144">
        <v>1</v>
      </c>
      <c r="J279" s="146"/>
      <c r="K279" s="147">
        <f>VLOOKUP(F279,plan3!A:H,8,FALSE)</f>
        <v>296.99</v>
      </c>
      <c r="L279" s="146">
        <v>42835</v>
      </c>
      <c r="M279" s="144" t="s">
        <v>425</v>
      </c>
      <c r="N279" s="144">
        <v>1</v>
      </c>
      <c r="O279" s="147">
        <f t="shared" si="7"/>
        <v>296.99</v>
      </c>
      <c r="P279" s="167">
        <v>42895</v>
      </c>
      <c r="Q279" s="185" t="s">
        <v>619</v>
      </c>
      <c r="R279" s="134">
        <v>339030</v>
      </c>
      <c r="S279" s="134">
        <v>35</v>
      </c>
      <c r="T279" s="134" t="s">
        <v>601</v>
      </c>
      <c r="U279" s="141"/>
    </row>
    <row r="280" spans="1:21" ht="46.5" customHeight="1" x14ac:dyDescent="0.25">
      <c r="A280" s="134" t="s">
        <v>206</v>
      </c>
      <c r="B280" s="142" t="s">
        <v>417</v>
      </c>
      <c r="C280" s="134" t="s">
        <v>418</v>
      </c>
      <c r="D280" s="143">
        <v>180000</v>
      </c>
      <c r="E280" s="144" t="s">
        <v>18</v>
      </c>
      <c r="F280" s="144">
        <v>21</v>
      </c>
      <c r="G280" s="153" t="s">
        <v>540</v>
      </c>
      <c r="H280" s="145"/>
      <c r="I280" s="144">
        <v>1</v>
      </c>
      <c r="J280" s="146"/>
      <c r="K280" s="147">
        <f>VLOOKUP(F280,plan3!A:H,8,FALSE)</f>
        <v>113.5</v>
      </c>
      <c r="L280" s="146">
        <v>42835</v>
      </c>
      <c r="M280" s="144" t="s">
        <v>424</v>
      </c>
      <c r="N280" s="144">
        <v>1</v>
      </c>
      <c r="O280" s="147">
        <f t="shared" si="7"/>
        <v>113.5</v>
      </c>
      <c r="P280" s="167">
        <v>42878</v>
      </c>
      <c r="Q280" s="144" t="s">
        <v>618</v>
      </c>
      <c r="R280" s="134">
        <v>339030</v>
      </c>
      <c r="S280" s="134">
        <v>35</v>
      </c>
      <c r="T280" s="134" t="s">
        <v>601</v>
      </c>
      <c r="U280" s="141"/>
    </row>
    <row r="281" spans="1:21" ht="46.5" customHeight="1" x14ac:dyDescent="0.25">
      <c r="A281" s="134" t="s">
        <v>206</v>
      </c>
      <c r="B281" s="142" t="s">
        <v>417</v>
      </c>
      <c r="C281" s="134" t="s">
        <v>418</v>
      </c>
      <c r="D281" s="143">
        <v>180000</v>
      </c>
      <c r="E281" s="144" t="s">
        <v>18</v>
      </c>
      <c r="F281" s="144">
        <v>43</v>
      </c>
      <c r="G281" s="153" t="s">
        <v>541</v>
      </c>
      <c r="H281" s="145"/>
      <c r="I281" s="144">
        <v>10</v>
      </c>
      <c r="J281" s="146"/>
      <c r="K281" s="147">
        <f>VLOOKUP(F281,plan3!A:H,8,FALSE)</f>
        <v>1.82</v>
      </c>
      <c r="L281" s="146">
        <v>42835</v>
      </c>
      <c r="M281" s="144" t="s">
        <v>426</v>
      </c>
      <c r="N281" s="144">
        <v>10</v>
      </c>
      <c r="O281" s="147">
        <f t="shared" si="7"/>
        <v>18.2</v>
      </c>
      <c r="P281" s="169">
        <v>42898</v>
      </c>
      <c r="Q281" s="183" t="s">
        <v>620</v>
      </c>
      <c r="R281" s="134">
        <v>339030</v>
      </c>
      <c r="S281" s="134">
        <v>35</v>
      </c>
      <c r="T281" s="134" t="s">
        <v>601</v>
      </c>
      <c r="U281" s="141"/>
    </row>
    <row r="282" spans="1:21" ht="46.5" customHeight="1" x14ac:dyDescent="0.25">
      <c r="A282" s="134" t="s">
        <v>206</v>
      </c>
      <c r="B282" s="142" t="s">
        <v>417</v>
      </c>
      <c r="C282" s="134" t="s">
        <v>418</v>
      </c>
      <c r="D282" s="143">
        <v>180000</v>
      </c>
      <c r="E282" s="144" t="s">
        <v>18</v>
      </c>
      <c r="F282" s="144">
        <v>47</v>
      </c>
      <c r="G282" s="153" t="s">
        <v>542</v>
      </c>
      <c r="H282" s="145"/>
      <c r="I282" s="144">
        <v>10</v>
      </c>
      <c r="J282" s="146"/>
      <c r="K282" s="147">
        <f>VLOOKUP(F282,plan3!A:H,8,FALSE)</f>
        <v>3.95</v>
      </c>
      <c r="L282" s="146">
        <v>42835</v>
      </c>
      <c r="M282" s="144" t="s">
        <v>426</v>
      </c>
      <c r="N282" s="144">
        <v>10</v>
      </c>
      <c r="O282" s="147">
        <f t="shared" si="7"/>
        <v>39.5</v>
      </c>
      <c r="P282" s="169">
        <v>42898</v>
      </c>
      <c r="Q282" s="186" t="s">
        <v>620</v>
      </c>
      <c r="R282" s="134">
        <v>339030</v>
      </c>
      <c r="S282" s="134">
        <v>35</v>
      </c>
      <c r="T282" s="134" t="s">
        <v>601</v>
      </c>
      <c r="U282" s="141"/>
    </row>
    <row r="283" spans="1:21" ht="26.25" customHeight="1" x14ac:dyDescent="0.25">
      <c r="A283" s="134" t="s">
        <v>206</v>
      </c>
      <c r="B283" s="142" t="s">
        <v>417</v>
      </c>
      <c r="C283" s="134" t="s">
        <v>418</v>
      </c>
      <c r="D283" s="143">
        <v>180000</v>
      </c>
      <c r="E283" s="144" t="s">
        <v>18</v>
      </c>
      <c r="F283" s="144">
        <v>46</v>
      </c>
      <c r="G283" s="153" t="s">
        <v>543</v>
      </c>
      <c r="H283" s="145"/>
      <c r="I283" s="144">
        <v>15</v>
      </c>
      <c r="J283" s="146"/>
      <c r="K283" s="147">
        <f>VLOOKUP(F283,plan3!A:H,8,FALSE)</f>
        <v>1.67</v>
      </c>
      <c r="L283" s="146">
        <v>42835</v>
      </c>
      <c r="M283" s="144" t="s">
        <v>426</v>
      </c>
      <c r="N283" s="144">
        <v>15</v>
      </c>
      <c r="O283" s="147">
        <f t="shared" si="7"/>
        <v>25.049999999999997</v>
      </c>
      <c r="P283" s="169">
        <v>42898</v>
      </c>
      <c r="Q283" s="186" t="s">
        <v>620</v>
      </c>
      <c r="R283" s="134">
        <v>339030</v>
      </c>
      <c r="S283" s="134">
        <v>35</v>
      </c>
      <c r="T283" s="134" t="s">
        <v>601</v>
      </c>
      <c r="U283" s="141"/>
    </row>
    <row r="284" spans="1:21" ht="46.5" customHeight="1" x14ac:dyDescent="0.25">
      <c r="A284" s="134" t="s">
        <v>206</v>
      </c>
      <c r="B284" s="142" t="s">
        <v>417</v>
      </c>
      <c r="C284" s="134" t="s">
        <v>418</v>
      </c>
      <c r="D284" s="143">
        <v>180000</v>
      </c>
      <c r="E284" s="144" t="s">
        <v>18</v>
      </c>
      <c r="F284" s="144">
        <v>48</v>
      </c>
      <c r="G284" s="153" t="s">
        <v>544</v>
      </c>
      <c r="H284" s="145"/>
      <c r="I284" s="144">
        <v>10</v>
      </c>
      <c r="J284" s="146"/>
      <c r="K284" s="147">
        <f>VLOOKUP(F284,plan3!A:H,8,FALSE)</f>
        <v>2.29</v>
      </c>
      <c r="L284" s="146">
        <v>42835</v>
      </c>
      <c r="M284" s="144" t="s">
        <v>426</v>
      </c>
      <c r="N284" s="144">
        <v>10</v>
      </c>
      <c r="O284" s="147">
        <f t="shared" si="7"/>
        <v>22.9</v>
      </c>
      <c r="P284" s="169">
        <v>42898</v>
      </c>
      <c r="Q284" s="186" t="s">
        <v>620</v>
      </c>
      <c r="R284" s="134">
        <v>339030</v>
      </c>
      <c r="S284" s="134">
        <v>35</v>
      </c>
      <c r="T284" s="134" t="s">
        <v>601</v>
      </c>
      <c r="U284" s="141"/>
    </row>
    <row r="285" spans="1:21" ht="24" customHeight="1" x14ac:dyDescent="0.25">
      <c r="A285" s="134" t="s">
        <v>206</v>
      </c>
      <c r="B285" s="142" t="s">
        <v>417</v>
      </c>
      <c r="C285" s="134" t="s">
        <v>418</v>
      </c>
      <c r="D285" s="143">
        <v>180000</v>
      </c>
      <c r="E285" s="144" t="s">
        <v>18</v>
      </c>
      <c r="F285" s="144">
        <v>65</v>
      </c>
      <c r="G285" s="153" t="s">
        <v>545</v>
      </c>
      <c r="H285" s="145"/>
      <c r="I285" s="144">
        <v>15</v>
      </c>
      <c r="J285" s="146"/>
      <c r="K285" s="147">
        <f>VLOOKUP(F285,plan3!A:H,8,FALSE)</f>
        <v>4.17</v>
      </c>
      <c r="L285" s="146">
        <v>42835</v>
      </c>
      <c r="M285" s="144" t="s">
        <v>427</v>
      </c>
      <c r="N285" s="144">
        <v>15</v>
      </c>
      <c r="O285" s="147">
        <f t="shared" si="7"/>
        <v>62.55</v>
      </c>
      <c r="P285" s="169">
        <v>42892</v>
      </c>
      <c r="Q285" s="186" t="s">
        <v>621</v>
      </c>
      <c r="R285" s="134">
        <v>339030</v>
      </c>
      <c r="S285" s="134">
        <v>35</v>
      </c>
      <c r="T285" s="134" t="s">
        <v>601</v>
      </c>
      <c r="U285" s="141"/>
    </row>
    <row r="286" spans="1:21" ht="46.5" customHeight="1" x14ac:dyDescent="0.25">
      <c r="A286" s="134" t="s">
        <v>206</v>
      </c>
      <c r="B286" s="142" t="s">
        <v>417</v>
      </c>
      <c r="C286" s="134" t="s">
        <v>418</v>
      </c>
      <c r="D286" s="143">
        <v>180000</v>
      </c>
      <c r="E286" s="144" t="s">
        <v>18</v>
      </c>
      <c r="F286" s="144">
        <v>169</v>
      </c>
      <c r="G286" s="153" t="s">
        <v>546</v>
      </c>
      <c r="H286" s="145"/>
      <c r="I286" s="144">
        <v>1</v>
      </c>
      <c r="J286" s="146"/>
      <c r="K286" s="147">
        <f>VLOOKUP(F286,plan3!A:H,8,FALSE)</f>
        <v>25</v>
      </c>
      <c r="L286" s="146">
        <v>42835</v>
      </c>
      <c r="M286" s="144" t="s">
        <v>423</v>
      </c>
      <c r="N286" s="144">
        <v>1</v>
      </c>
      <c r="O286" s="147">
        <f t="shared" si="7"/>
        <v>25</v>
      </c>
      <c r="P286" s="176">
        <v>42914</v>
      </c>
      <c r="Q286" s="187" t="s">
        <v>617</v>
      </c>
      <c r="R286" s="134">
        <v>339030</v>
      </c>
      <c r="S286" s="134">
        <v>35</v>
      </c>
      <c r="T286" s="134" t="s">
        <v>601</v>
      </c>
      <c r="U286" s="141"/>
    </row>
    <row r="287" spans="1:21" ht="46.5" customHeight="1" x14ac:dyDescent="0.25">
      <c r="A287" s="134" t="s">
        <v>206</v>
      </c>
      <c r="B287" s="142" t="s">
        <v>417</v>
      </c>
      <c r="C287" s="134" t="s">
        <v>418</v>
      </c>
      <c r="D287" s="143">
        <v>180000</v>
      </c>
      <c r="E287" s="144" t="s">
        <v>18</v>
      </c>
      <c r="F287" s="144">
        <v>125</v>
      </c>
      <c r="G287" s="153" t="s">
        <v>547</v>
      </c>
      <c r="H287" s="145"/>
      <c r="I287" s="144">
        <v>1</v>
      </c>
      <c r="J287" s="146"/>
      <c r="K287" s="147">
        <f>VLOOKUP(F287,plan3!A:H,8,FALSE)</f>
        <v>88.53</v>
      </c>
      <c r="L287" s="146">
        <v>42835</v>
      </c>
      <c r="M287" s="144" t="s">
        <v>427</v>
      </c>
      <c r="N287" s="144">
        <v>1</v>
      </c>
      <c r="O287" s="147">
        <f t="shared" si="7"/>
        <v>88.53</v>
      </c>
      <c r="P287" s="169">
        <v>42892</v>
      </c>
      <c r="Q287" s="186" t="s">
        <v>621</v>
      </c>
      <c r="R287" s="134">
        <v>339030</v>
      </c>
      <c r="S287" s="134">
        <v>35</v>
      </c>
      <c r="T287" s="134" t="s">
        <v>601</v>
      </c>
      <c r="U287" s="141"/>
    </row>
    <row r="288" spans="1:21" ht="46.5" customHeight="1" x14ac:dyDescent="0.25">
      <c r="A288" s="134" t="s">
        <v>206</v>
      </c>
      <c r="B288" s="142" t="s">
        <v>417</v>
      </c>
      <c r="C288" s="134" t="s">
        <v>418</v>
      </c>
      <c r="D288" s="143">
        <v>180000</v>
      </c>
      <c r="E288" s="144" t="s">
        <v>18</v>
      </c>
      <c r="F288" s="144">
        <v>122</v>
      </c>
      <c r="G288" s="153" t="s">
        <v>548</v>
      </c>
      <c r="H288" s="145"/>
      <c r="I288" s="144">
        <v>5</v>
      </c>
      <c r="J288" s="146"/>
      <c r="K288" s="147">
        <f>VLOOKUP(F288,plan3!A:H,8,FALSE)</f>
        <v>21.65</v>
      </c>
      <c r="L288" s="146">
        <v>42835</v>
      </c>
      <c r="M288" s="144" t="s">
        <v>427</v>
      </c>
      <c r="N288" s="144">
        <v>5</v>
      </c>
      <c r="O288" s="147">
        <f t="shared" si="7"/>
        <v>108.25</v>
      </c>
      <c r="P288" s="169">
        <v>42892</v>
      </c>
      <c r="Q288" s="186" t="s">
        <v>621</v>
      </c>
      <c r="R288" s="134">
        <v>339030</v>
      </c>
      <c r="S288" s="134">
        <v>35</v>
      </c>
      <c r="T288" s="134" t="s">
        <v>601</v>
      </c>
      <c r="U288" s="141"/>
    </row>
    <row r="289" spans="1:21" ht="46.5" customHeight="1" x14ac:dyDescent="0.25">
      <c r="A289" s="134" t="s">
        <v>206</v>
      </c>
      <c r="B289" s="142" t="s">
        <v>417</v>
      </c>
      <c r="C289" s="134" t="s">
        <v>418</v>
      </c>
      <c r="D289" s="143">
        <v>180000</v>
      </c>
      <c r="E289" s="144" t="s">
        <v>18</v>
      </c>
      <c r="F289" s="144">
        <v>128</v>
      </c>
      <c r="G289" s="153" t="s">
        <v>549</v>
      </c>
      <c r="H289" s="145"/>
      <c r="I289" s="144">
        <v>5</v>
      </c>
      <c r="J289" s="146"/>
      <c r="K289" s="147">
        <f>VLOOKUP(F289,plan3!A:H,8,FALSE)</f>
        <v>34.19</v>
      </c>
      <c r="L289" s="146">
        <v>42835</v>
      </c>
      <c r="M289" s="144" t="s">
        <v>422</v>
      </c>
      <c r="N289" s="144">
        <v>5</v>
      </c>
      <c r="O289" s="147">
        <f t="shared" si="7"/>
        <v>170.95</v>
      </c>
      <c r="P289" s="169">
        <v>42898</v>
      </c>
      <c r="Q289" s="168" t="s">
        <v>616</v>
      </c>
      <c r="R289" s="134">
        <v>339030</v>
      </c>
      <c r="S289" s="134">
        <v>35</v>
      </c>
      <c r="T289" s="134" t="s">
        <v>601</v>
      </c>
      <c r="U289" s="141"/>
    </row>
    <row r="290" spans="1:21" s="99" customFormat="1" ht="46.5" customHeight="1" x14ac:dyDescent="0.25">
      <c r="A290" s="134" t="s">
        <v>206</v>
      </c>
      <c r="B290" s="142" t="s">
        <v>417</v>
      </c>
      <c r="C290" s="134" t="s">
        <v>418</v>
      </c>
      <c r="D290" s="143">
        <v>180000</v>
      </c>
      <c r="E290" s="144" t="s">
        <v>18</v>
      </c>
      <c r="F290" s="144">
        <v>141</v>
      </c>
      <c r="G290" s="153" t="s">
        <v>550</v>
      </c>
      <c r="H290" s="145"/>
      <c r="I290" s="144">
        <v>1</v>
      </c>
      <c r="J290" s="146"/>
      <c r="K290" s="147">
        <v>7.0000000000000007E-2</v>
      </c>
      <c r="L290" s="146">
        <v>42835</v>
      </c>
      <c r="M290" s="144" t="s">
        <v>428</v>
      </c>
      <c r="N290" s="144">
        <v>1</v>
      </c>
      <c r="O290" s="147">
        <f t="shared" si="7"/>
        <v>7.0000000000000007E-2</v>
      </c>
      <c r="P290" s="144"/>
      <c r="Q290" s="144"/>
      <c r="R290" s="134">
        <v>339030</v>
      </c>
      <c r="S290" s="134">
        <v>35</v>
      </c>
      <c r="T290" s="188" t="s">
        <v>622</v>
      </c>
      <c r="U290" s="141"/>
    </row>
    <row r="291" spans="1:21" ht="24.75" customHeight="1" x14ac:dyDescent="0.25">
      <c r="A291" s="134" t="s">
        <v>206</v>
      </c>
      <c r="B291" s="142" t="s">
        <v>417</v>
      </c>
      <c r="C291" s="134" t="s">
        <v>418</v>
      </c>
      <c r="D291" s="143">
        <v>220200</v>
      </c>
      <c r="E291" s="142" t="s">
        <v>419</v>
      </c>
      <c r="F291" s="149">
        <v>65</v>
      </c>
      <c r="G291" s="153" t="s">
        <v>545</v>
      </c>
      <c r="H291" s="145"/>
      <c r="I291" s="149">
        <v>1</v>
      </c>
      <c r="J291" s="146"/>
      <c r="K291" s="147">
        <f>VLOOKUP(F291,plan3!A:H,8,FALSE)</f>
        <v>4.17</v>
      </c>
      <c r="L291" s="146">
        <v>42835</v>
      </c>
      <c r="M291" s="144" t="s">
        <v>437</v>
      </c>
      <c r="N291" s="144">
        <v>1</v>
      </c>
      <c r="O291" s="147">
        <f t="shared" si="7"/>
        <v>4.17</v>
      </c>
      <c r="P291" s="176">
        <v>42892</v>
      </c>
      <c r="Q291" s="144" t="s">
        <v>621</v>
      </c>
      <c r="R291" s="134">
        <v>339030</v>
      </c>
      <c r="S291" s="134">
        <v>35</v>
      </c>
      <c r="T291" s="134" t="s">
        <v>601</v>
      </c>
      <c r="U291" s="141"/>
    </row>
    <row r="292" spans="1:21" ht="46.5" customHeight="1" x14ac:dyDescent="0.25">
      <c r="A292" s="134" t="s">
        <v>206</v>
      </c>
      <c r="B292" s="142" t="s">
        <v>417</v>
      </c>
      <c r="C292" s="134" t="s">
        <v>418</v>
      </c>
      <c r="D292" s="143">
        <v>220200</v>
      </c>
      <c r="E292" s="142" t="s">
        <v>419</v>
      </c>
      <c r="F292" s="149">
        <v>67</v>
      </c>
      <c r="G292" s="153" t="s">
        <v>551</v>
      </c>
      <c r="H292" s="145"/>
      <c r="I292" s="149">
        <v>1</v>
      </c>
      <c r="J292" s="146"/>
      <c r="K292" s="147">
        <f>VLOOKUP(F292,plan3!A:H,8,FALSE)</f>
        <v>4.41</v>
      </c>
      <c r="L292" s="146">
        <v>42835</v>
      </c>
      <c r="M292" s="144" t="s">
        <v>437</v>
      </c>
      <c r="N292" s="144">
        <v>1</v>
      </c>
      <c r="O292" s="147">
        <f t="shared" si="7"/>
        <v>4.41</v>
      </c>
      <c r="P292" s="167">
        <v>42892</v>
      </c>
      <c r="Q292" s="144" t="s">
        <v>621</v>
      </c>
      <c r="R292" s="134">
        <v>339030</v>
      </c>
      <c r="S292" s="134">
        <v>35</v>
      </c>
      <c r="T292" s="134" t="s">
        <v>601</v>
      </c>
      <c r="U292" s="141"/>
    </row>
    <row r="293" spans="1:21" ht="46.5" customHeight="1" x14ac:dyDescent="0.25">
      <c r="A293" s="134" t="s">
        <v>206</v>
      </c>
      <c r="B293" s="142" t="s">
        <v>417</v>
      </c>
      <c r="C293" s="134" t="s">
        <v>418</v>
      </c>
      <c r="D293" s="143">
        <v>220200</v>
      </c>
      <c r="E293" s="142" t="s">
        <v>419</v>
      </c>
      <c r="F293" s="144">
        <v>69</v>
      </c>
      <c r="G293" s="153" t="s">
        <v>552</v>
      </c>
      <c r="H293" s="145"/>
      <c r="I293" s="144">
        <v>1</v>
      </c>
      <c r="J293" s="146"/>
      <c r="K293" s="147">
        <f>VLOOKUP(F293,plan3!A:H,8,FALSE)</f>
        <v>4.32</v>
      </c>
      <c r="L293" s="146">
        <v>42835</v>
      </c>
      <c r="M293" s="144" t="s">
        <v>437</v>
      </c>
      <c r="N293" s="144">
        <v>1</v>
      </c>
      <c r="O293" s="147">
        <f t="shared" si="7"/>
        <v>4.32</v>
      </c>
      <c r="P293" s="167">
        <v>42892</v>
      </c>
      <c r="Q293" s="144" t="s">
        <v>621</v>
      </c>
      <c r="R293" s="134">
        <v>339030</v>
      </c>
      <c r="S293" s="134">
        <v>35</v>
      </c>
      <c r="T293" s="134" t="s">
        <v>601</v>
      </c>
      <c r="U293" s="141"/>
    </row>
    <row r="294" spans="1:21" ht="213" customHeight="1" x14ac:dyDescent="0.25">
      <c r="A294" s="134" t="s">
        <v>206</v>
      </c>
      <c r="B294" s="142" t="s">
        <v>417</v>
      </c>
      <c r="C294" s="134" t="s">
        <v>418</v>
      </c>
      <c r="D294" s="143">
        <v>190000</v>
      </c>
      <c r="E294" s="142" t="s">
        <v>383</v>
      </c>
      <c r="F294" s="144">
        <v>13</v>
      </c>
      <c r="G294" s="153" t="s">
        <v>539</v>
      </c>
      <c r="H294" s="145"/>
      <c r="I294" s="144">
        <v>1</v>
      </c>
      <c r="J294" s="146"/>
      <c r="K294" s="147">
        <f>VLOOKUP(F294,plan3!A:H,8,FALSE)</f>
        <v>296.99</v>
      </c>
      <c r="L294" s="146">
        <v>42835</v>
      </c>
      <c r="M294" s="144" t="s">
        <v>435</v>
      </c>
      <c r="N294" s="144">
        <v>1</v>
      </c>
      <c r="O294" s="147">
        <f t="shared" si="7"/>
        <v>296.99</v>
      </c>
      <c r="P294" s="167">
        <v>42895</v>
      </c>
      <c r="Q294" s="184" t="s">
        <v>626</v>
      </c>
      <c r="R294" s="134">
        <v>339030</v>
      </c>
      <c r="S294" s="134">
        <v>35</v>
      </c>
      <c r="T294" s="134" t="s">
        <v>601</v>
      </c>
      <c r="U294" s="141"/>
    </row>
    <row r="295" spans="1:21" ht="46.5" customHeight="1" x14ac:dyDescent="0.25">
      <c r="A295" s="134" t="s">
        <v>206</v>
      </c>
      <c r="B295" s="142" t="s">
        <v>417</v>
      </c>
      <c r="C295" s="134" t="s">
        <v>418</v>
      </c>
      <c r="D295" s="143">
        <v>190000</v>
      </c>
      <c r="E295" s="142" t="s">
        <v>383</v>
      </c>
      <c r="F295" s="144">
        <v>44</v>
      </c>
      <c r="G295" s="153" t="s">
        <v>541</v>
      </c>
      <c r="H295" s="145"/>
      <c r="I295" s="144">
        <v>2</v>
      </c>
      <c r="J295" s="146"/>
      <c r="K295" s="147">
        <f>VLOOKUP(F295,plan3!A:H,8,FALSE)</f>
        <v>3.73</v>
      </c>
      <c r="L295" s="146">
        <v>42835</v>
      </c>
      <c r="M295" s="144" t="s">
        <v>436</v>
      </c>
      <c r="N295" s="144">
        <v>2</v>
      </c>
      <c r="O295" s="147">
        <f t="shared" si="7"/>
        <v>7.46</v>
      </c>
      <c r="P295" s="169">
        <v>42898</v>
      </c>
      <c r="Q295" s="183" t="s">
        <v>620</v>
      </c>
      <c r="R295" s="134">
        <v>339030</v>
      </c>
      <c r="S295" s="134">
        <v>35</v>
      </c>
      <c r="T295" s="134" t="s">
        <v>601</v>
      </c>
      <c r="U295" s="141"/>
    </row>
    <row r="296" spans="1:21" ht="46.5" customHeight="1" x14ac:dyDescent="0.25">
      <c r="A296" s="134" t="s">
        <v>206</v>
      </c>
      <c r="B296" s="142" t="s">
        <v>417</v>
      </c>
      <c r="C296" s="134" t="s">
        <v>418</v>
      </c>
      <c r="D296" s="143">
        <v>190000</v>
      </c>
      <c r="E296" s="142" t="s">
        <v>383</v>
      </c>
      <c r="F296" s="144">
        <v>47</v>
      </c>
      <c r="G296" s="153" t="s">
        <v>542</v>
      </c>
      <c r="H296" s="145"/>
      <c r="I296" s="144">
        <v>4</v>
      </c>
      <c r="J296" s="146"/>
      <c r="K296" s="147">
        <f>VLOOKUP(F296,plan3!A:H,8,FALSE)</f>
        <v>3.95</v>
      </c>
      <c r="L296" s="146">
        <v>42835</v>
      </c>
      <c r="M296" s="144" t="s">
        <v>436</v>
      </c>
      <c r="N296" s="144">
        <v>4</v>
      </c>
      <c r="O296" s="147">
        <f t="shared" si="7"/>
        <v>15.8</v>
      </c>
      <c r="P296" s="169">
        <v>42898</v>
      </c>
      <c r="Q296" s="186" t="s">
        <v>620</v>
      </c>
      <c r="R296" s="134">
        <v>339030</v>
      </c>
      <c r="S296" s="134">
        <v>35</v>
      </c>
      <c r="T296" s="134" t="s">
        <v>601</v>
      </c>
      <c r="U296" s="141"/>
    </row>
    <row r="297" spans="1:21" ht="46.5" customHeight="1" x14ac:dyDescent="0.25">
      <c r="A297" s="134" t="s">
        <v>206</v>
      </c>
      <c r="B297" s="142" t="s">
        <v>417</v>
      </c>
      <c r="C297" s="134" t="s">
        <v>418</v>
      </c>
      <c r="D297" s="143">
        <v>190000</v>
      </c>
      <c r="E297" s="142" t="s">
        <v>383</v>
      </c>
      <c r="F297" s="144">
        <v>48</v>
      </c>
      <c r="G297" s="153" t="s">
        <v>544</v>
      </c>
      <c r="H297" s="145"/>
      <c r="I297" s="144">
        <v>6</v>
      </c>
      <c r="J297" s="146"/>
      <c r="K297" s="147">
        <f>VLOOKUP(F297,plan3!A:H,8,FALSE)</f>
        <v>2.29</v>
      </c>
      <c r="L297" s="146">
        <v>42835</v>
      </c>
      <c r="M297" s="144" t="s">
        <v>436</v>
      </c>
      <c r="N297" s="144">
        <v>6</v>
      </c>
      <c r="O297" s="147">
        <f t="shared" si="7"/>
        <v>13.74</v>
      </c>
      <c r="P297" s="169">
        <v>42898</v>
      </c>
      <c r="Q297" s="186" t="s">
        <v>620</v>
      </c>
      <c r="R297" s="134">
        <v>339030</v>
      </c>
      <c r="S297" s="134">
        <v>35</v>
      </c>
      <c r="T297" s="134" t="s">
        <v>601</v>
      </c>
      <c r="U297" s="141"/>
    </row>
    <row r="298" spans="1:21" ht="46.5" customHeight="1" x14ac:dyDescent="0.25">
      <c r="A298" s="134" t="s">
        <v>206</v>
      </c>
      <c r="B298" s="142" t="s">
        <v>417</v>
      </c>
      <c r="C298" s="134" t="s">
        <v>418</v>
      </c>
      <c r="D298" s="143">
        <v>190000</v>
      </c>
      <c r="E298" s="142" t="s">
        <v>383</v>
      </c>
      <c r="F298" s="144">
        <v>50</v>
      </c>
      <c r="G298" s="153" t="s">
        <v>553</v>
      </c>
      <c r="H298" s="145"/>
      <c r="I298" s="144">
        <v>4</v>
      </c>
      <c r="J298" s="146"/>
      <c r="K298" s="147">
        <f>VLOOKUP(F298,plan3!A:H,8,FALSE)</f>
        <v>2.17</v>
      </c>
      <c r="L298" s="146">
        <v>42835</v>
      </c>
      <c r="M298" s="144" t="s">
        <v>436</v>
      </c>
      <c r="N298" s="144">
        <v>4</v>
      </c>
      <c r="O298" s="147">
        <v>457.49</v>
      </c>
      <c r="P298" s="190">
        <v>42898</v>
      </c>
      <c r="Q298" s="186" t="s">
        <v>620</v>
      </c>
      <c r="R298" s="134">
        <v>339030</v>
      </c>
      <c r="S298" s="134">
        <v>35</v>
      </c>
      <c r="T298" s="134" t="s">
        <v>601</v>
      </c>
      <c r="U298" s="141"/>
    </row>
    <row r="299" spans="1:21" ht="24.75" customHeight="1" x14ac:dyDescent="0.25">
      <c r="A299" s="134" t="s">
        <v>206</v>
      </c>
      <c r="B299" s="142" t="s">
        <v>417</v>
      </c>
      <c r="C299" s="134" t="s">
        <v>418</v>
      </c>
      <c r="D299" s="143">
        <v>190000</v>
      </c>
      <c r="E299" s="142" t="s">
        <v>383</v>
      </c>
      <c r="F299" s="144">
        <v>65</v>
      </c>
      <c r="G299" s="153" t="s">
        <v>545</v>
      </c>
      <c r="H299" s="145"/>
      <c r="I299" s="144">
        <v>5</v>
      </c>
      <c r="J299" s="146"/>
      <c r="K299" s="147">
        <f>VLOOKUP(F299,plan3!A:H,8,FALSE)</f>
        <v>4.17</v>
      </c>
      <c r="L299" s="146">
        <v>42835</v>
      </c>
      <c r="M299" s="144" t="s">
        <v>437</v>
      </c>
      <c r="N299" s="144">
        <v>5</v>
      </c>
      <c r="O299" s="147">
        <f t="shared" si="7"/>
        <v>20.85</v>
      </c>
      <c r="P299" s="167">
        <v>42892</v>
      </c>
      <c r="Q299" s="144" t="s">
        <v>621</v>
      </c>
      <c r="R299" s="134">
        <v>339030</v>
      </c>
      <c r="S299" s="134">
        <v>35</v>
      </c>
      <c r="T299" s="134" t="s">
        <v>601</v>
      </c>
      <c r="U299" s="141"/>
    </row>
    <row r="300" spans="1:21" ht="46.5" customHeight="1" x14ac:dyDescent="0.25">
      <c r="A300" s="134" t="s">
        <v>206</v>
      </c>
      <c r="B300" s="142" t="s">
        <v>417</v>
      </c>
      <c r="C300" s="134" t="s">
        <v>418</v>
      </c>
      <c r="D300" s="143">
        <v>190000</v>
      </c>
      <c r="E300" s="142" t="s">
        <v>383</v>
      </c>
      <c r="F300" s="144">
        <v>67</v>
      </c>
      <c r="G300" s="153" t="s">
        <v>551</v>
      </c>
      <c r="H300" s="145"/>
      <c r="I300" s="144">
        <v>5</v>
      </c>
      <c r="J300" s="146"/>
      <c r="K300" s="147">
        <f>VLOOKUP(F300,plan3!A:H,8,FALSE)</f>
        <v>4.41</v>
      </c>
      <c r="L300" s="146">
        <v>42835</v>
      </c>
      <c r="M300" s="144" t="s">
        <v>437</v>
      </c>
      <c r="N300" s="144">
        <v>5</v>
      </c>
      <c r="O300" s="147">
        <f t="shared" si="7"/>
        <v>22.05</v>
      </c>
      <c r="P300" s="167">
        <v>42892</v>
      </c>
      <c r="Q300" s="144" t="s">
        <v>621</v>
      </c>
      <c r="R300" s="134">
        <v>339030</v>
      </c>
      <c r="S300" s="134">
        <v>35</v>
      </c>
      <c r="T300" s="134" t="s">
        <v>601</v>
      </c>
      <c r="U300" s="141"/>
    </row>
    <row r="301" spans="1:21" ht="46.5" customHeight="1" x14ac:dyDescent="0.25">
      <c r="A301" s="134" t="s">
        <v>206</v>
      </c>
      <c r="B301" s="142" t="s">
        <v>417</v>
      </c>
      <c r="C301" s="134" t="s">
        <v>418</v>
      </c>
      <c r="D301" s="143">
        <v>190000</v>
      </c>
      <c r="E301" s="142" t="s">
        <v>383</v>
      </c>
      <c r="F301" s="144">
        <v>122</v>
      </c>
      <c r="G301" s="153" t="s">
        <v>548</v>
      </c>
      <c r="H301" s="145"/>
      <c r="I301" s="144">
        <v>3</v>
      </c>
      <c r="J301" s="146"/>
      <c r="K301" s="147">
        <f>VLOOKUP(F301,plan3!A:H,8,FALSE)</f>
        <v>21.65</v>
      </c>
      <c r="L301" s="146">
        <v>42835</v>
      </c>
      <c r="M301" s="144" t="s">
        <v>437</v>
      </c>
      <c r="N301" s="144">
        <v>3</v>
      </c>
      <c r="O301" s="147">
        <f t="shared" si="7"/>
        <v>64.949999999999989</v>
      </c>
      <c r="P301" s="167">
        <v>42892</v>
      </c>
      <c r="Q301" s="144" t="s">
        <v>621</v>
      </c>
      <c r="R301" s="134">
        <v>339030</v>
      </c>
      <c r="S301" s="134">
        <v>35</v>
      </c>
      <c r="T301" s="134" t="s">
        <v>601</v>
      </c>
      <c r="U301" s="141"/>
    </row>
    <row r="302" spans="1:21" ht="46.5" customHeight="1" x14ac:dyDescent="0.25">
      <c r="A302" s="134" t="s">
        <v>206</v>
      </c>
      <c r="B302" s="142" t="s">
        <v>417</v>
      </c>
      <c r="C302" s="134" t="s">
        <v>418</v>
      </c>
      <c r="D302" s="143">
        <v>190000</v>
      </c>
      <c r="E302" s="142" t="s">
        <v>383</v>
      </c>
      <c r="F302" s="144">
        <v>151</v>
      </c>
      <c r="G302" s="153" t="s">
        <v>554</v>
      </c>
      <c r="H302" s="145"/>
      <c r="I302" s="144">
        <v>10</v>
      </c>
      <c r="J302" s="146"/>
      <c r="K302" s="147">
        <f>VLOOKUP(F302,plan3!A:H,8,FALSE)</f>
        <v>3.99</v>
      </c>
      <c r="L302" s="146">
        <v>42835</v>
      </c>
      <c r="M302" s="144" t="s">
        <v>437</v>
      </c>
      <c r="N302" s="144">
        <v>10</v>
      </c>
      <c r="O302" s="147">
        <f t="shared" si="7"/>
        <v>39.900000000000006</v>
      </c>
      <c r="P302" s="167">
        <v>42892</v>
      </c>
      <c r="Q302" s="144" t="s">
        <v>621</v>
      </c>
      <c r="R302" s="134">
        <v>339030</v>
      </c>
      <c r="S302" s="134">
        <v>35</v>
      </c>
      <c r="T302" s="134" t="s">
        <v>601</v>
      </c>
      <c r="U302" s="141"/>
    </row>
    <row r="303" spans="1:21" ht="46.5" customHeight="1" x14ac:dyDescent="0.25">
      <c r="A303" s="134" t="s">
        <v>206</v>
      </c>
      <c r="B303" s="142" t="s">
        <v>417</v>
      </c>
      <c r="C303" s="134" t="s">
        <v>418</v>
      </c>
      <c r="D303" s="143">
        <v>220100</v>
      </c>
      <c r="E303" s="142" t="s">
        <v>420</v>
      </c>
      <c r="F303" s="144">
        <v>164</v>
      </c>
      <c r="G303" s="153" t="s">
        <v>538</v>
      </c>
      <c r="H303" s="145"/>
      <c r="I303" s="144">
        <v>1</v>
      </c>
      <c r="J303" s="146"/>
      <c r="K303" s="147">
        <f>VLOOKUP(F303,plan3!A:H,8,FALSE)</f>
        <v>0.28000000000000003</v>
      </c>
      <c r="L303" s="146">
        <v>42835</v>
      </c>
      <c r="M303" s="144" t="s">
        <v>435</v>
      </c>
      <c r="N303" s="144">
        <v>1</v>
      </c>
      <c r="O303" s="147">
        <f t="shared" si="7"/>
        <v>0.28000000000000003</v>
      </c>
      <c r="P303" s="167">
        <v>42895</v>
      </c>
      <c r="Q303" s="184" t="s">
        <v>626</v>
      </c>
      <c r="R303" s="134">
        <v>339030</v>
      </c>
      <c r="S303" s="134">
        <v>35</v>
      </c>
      <c r="T303" s="134" t="s">
        <v>601</v>
      </c>
      <c r="U303" s="141"/>
    </row>
    <row r="304" spans="1:21" ht="46.5" customHeight="1" x14ac:dyDescent="0.25">
      <c r="A304" s="134" t="s">
        <v>206</v>
      </c>
      <c r="B304" s="142" t="s">
        <v>417</v>
      </c>
      <c r="C304" s="134" t="s">
        <v>418</v>
      </c>
      <c r="D304" s="143">
        <v>220100</v>
      </c>
      <c r="E304" s="142" t="s">
        <v>420</v>
      </c>
      <c r="F304" s="144">
        <v>4</v>
      </c>
      <c r="G304" s="153" t="s">
        <v>555</v>
      </c>
      <c r="H304" s="145"/>
      <c r="I304" s="144">
        <v>1</v>
      </c>
      <c r="J304" s="146"/>
      <c r="K304" s="147">
        <f>VLOOKUP(F304,plan3!A:H,8,FALSE)</f>
        <v>689</v>
      </c>
      <c r="L304" s="146">
        <v>42835</v>
      </c>
      <c r="M304" s="144" t="s">
        <v>434</v>
      </c>
      <c r="N304" s="144">
        <v>1</v>
      </c>
      <c r="O304" s="147">
        <f t="shared" si="7"/>
        <v>689</v>
      </c>
      <c r="P304" s="139" t="s">
        <v>625</v>
      </c>
      <c r="Q304" s="140"/>
      <c r="R304" s="134">
        <v>339030</v>
      </c>
      <c r="S304" s="134">
        <v>35</v>
      </c>
      <c r="T304" s="134" t="s">
        <v>646</v>
      </c>
      <c r="U304" s="141"/>
    </row>
    <row r="305" spans="1:21" ht="46.5" customHeight="1" x14ac:dyDescent="0.25">
      <c r="A305" s="134" t="s">
        <v>206</v>
      </c>
      <c r="B305" s="142" t="s">
        <v>417</v>
      </c>
      <c r="C305" s="134" t="s">
        <v>418</v>
      </c>
      <c r="D305" s="143">
        <v>220100</v>
      </c>
      <c r="E305" s="142" t="s">
        <v>420</v>
      </c>
      <c r="F305" s="144">
        <v>13</v>
      </c>
      <c r="G305" s="153" t="s">
        <v>539</v>
      </c>
      <c r="H305" s="145"/>
      <c r="I305" s="144">
        <v>1</v>
      </c>
      <c r="J305" s="146"/>
      <c r="K305" s="147">
        <f>VLOOKUP(F305,plan3!A:H,8,FALSE)</f>
        <v>296.99</v>
      </c>
      <c r="L305" s="146">
        <v>42835</v>
      </c>
      <c r="M305" s="144" t="s">
        <v>435</v>
      </c>
      <c r="N305" s="144">
        <v>1</v>
      </c>
      <c r="O305" s="147">
        <f t="shared" si="7"/>
        <v>296.99</v>
      </c>
      <c r="P305" s="167">
        <v>42895</v>
      </c>
      <c r="Q305" s="184" t="s">
        <v>626</v>
      </c>
      <c r="R305" s="134">
        <v>339030</v>
      </c>
      <c r="S305" s="134">
        <v>35</v>
      </c>
      <c r="T305" s="134" t="s">
        <v>601</v>
      </c>
      <c r="U305" s="141"/>
    </row>
    <row r="306" spans="1:21" ht="46.5" customHeight="1" x14ac:dyDescent="0.25">
      <c r="A306" s="134" t="s">
        <v>206</v>
      </c>
      <c r="B306" s="142" t="s">
        <v>417</v>
      </c>
      <c r="C306" s="134" t="s">
        <v>418</v>
      </c>
      <c r="D306" s="143">
        <v>220100</v>
      </c>
      <c r="E306" s="142" t="s">
        <v>420</v>
      </c>
      <c r="F306" s="144">
        <v>22</v>
      </c>
      <c r="G306" s="153" t="s">
        <v>556</v>
      </c>
      <c r="H306" s="145"/>
      <c r="I306" s="144">
        <v>2</v>
      </c>
      <c r="J306" s="146"/>
      <c r="K306" s="147">
        <f>VLOOKUP(F306,plan3!A:H,8,FALSE)</f>
        <v>115</v>
      </c>
      <c r="L306" s="146">
        <v>42835</v>
      </c>
      <c r="M306" s="144" t="s">
        <v>433</v>
      </c>
      <c r="N306" s="144">
        <v>2</v>
      </c>
      <c r="O306" s="147">
        <f t="shared" si="7"/>
        <v>230</v>
      </c>
      <c r="P306" s="176">
        <v>42905</v>
      </c>
      <c r="Q306" s="172" t="s">
        <v>624</v>
      </c>
      <c r="R306" s="134">
        <v>339030</v>
      </c>
      <c r="S306" s="134">
        <v>35</v>
      </c>
      <c r="T306" s="134" t="s">
        <v>601</v>
      </c>
      <c r="U306" s="141"/>
    </row>
    <row r="307" spans="1:21" ht="46.5" customHeight="1" x14ac:dyDescent="0.25">
      <c r="A307" s="134" t="s">
        <v>206</v>
      </c>
      <c r="B307" s="142" t="s">
        <v>417</v>
      </c>
      <c r="C307" s="134" t="s">
        <v>418</v>
      </c>
      <c r="D307" s="143">
        <v>220100</v>
      </c>
      <c r="E307" s="142" t="s">
        <v>420</v>
      </c>
      <c r="F307" s="144">
        <v>44</v>
      </c>
      <c r="G307" s="153" t="s">
        <v>541</v>
      </c>
      <c r="H307" s="145"/>
      <c r="I307" s="144">
        <v>1</v>
      </c>
      <c r="J307" s="146"/>
      <c r="K307" s="147">
        <f>VLOOKUP(F307,plan3!A:H,8,FALSE)</f>
        <v>3.73</v>
      </c>
      <c r="L307" s="146">
        <v>42835</v>
      </c>
      <c r="M307" s="144" t="s">
        <v>436</v>
      </c>
      <c r="N307" s="144">
        <v>1</v>
      </c>
      <c r="O307" s="147">
        <f t="shared" si="7"/>
        <v>3.73</v>
      </c>
      <c r="P307" s="169">
        <v>42898</v>
      </c>
      <c r="Q307" s="186" t="s">
        <v>620</v>
      </c>
      <c r="R307" s="134">
        <v>339030</v>
      </c>
      <c r="S307" s="134">
        <v>35</v>
      </c>
      <c r="T307" s="134" t="s">
        <v>601</v>
      </c>
      <c r="U307" s="141"/>
    </row>
    <row r="308" spans="1:21" ht="46.5" customHeight="1" x14ac:dyDescent="0.25">
      <c r="A308" s="134" t="s">
        <v>206</v>
      </c>
      <c r="B308" s="142" t="s">
        <v>417</v>
      </c>
      <c r="C308" s="134" t="s">
        <v>418</v>
      </c>
      <c r="D308" s="143">
        <v>220100</v>
      </c>
      <c r="E308" s="142" t="s">
        <v>420</v>
      </c>
      <c r="F308" s="144">
        <v>128</v>
      </c>
      <c r="G308" s="153" t="s">
        <v>549</v>
      </c>
      <c r="H308" s="145"/>
      <c r="I308" s="144">
        <v>2</v>
      </c>
      <c r="J308" s="146"/>
      <c r="K308" s="147">
        <f>VLOOKUP(F308,plan3!A:H,8,FALSE)</f>
        <v>34.19</v>
      </c>
      <c r="L308" s="146">
        <v>42835</v>
      </c>
      <c r="M308" s="144" t="s">
        <v>429</v>
      </c>
      <c r="N308" s="144">
        <v>2</v>
      </c>
      <c r="O308" s="147">
        <f t="shared" si="7"/>
        <v>68.38</v>
      </c>
      <c r="P308" s="171">
        <v>42898</v>
      </c>
      <c r="Q308" s="144" t="s">
        <v>616</v>
      </c>
      <c r="R308" s="134">
        <v>339030</v>
      </c>
      <c r="S308" s="134">
        <v>35</v>
      </c>
      <c r="T308" s="134" t="s">
        <v>601</v>
      </c>
      <c r="U308" s="141"/>
    </row>
    <row r="309" spans="1:21" ht="46.5" customHeight="1" x14ac:dyDescent="0.25">
      <c r="A309" s="134" t="s">
        <v>206</v>
      </c>
      <c r="B309" s="142" t="s">
        <v>417</v>
      </c>
      <c r="C309" s="134" t="s">
        <v>418</v>
      </c>
      <c r="D309" s="143">
        <v>220100</v>
      </c>
      <c r="E309" s="142" t="s">
        <v>420</v>
      </c>
      <c r="F309" s="144">
        <v>150</v>
      </c>
      <c r="G309" s="153" t="s">
        <v>557</v>
      </c>
      <c r="H309" s="145"/>
      <c r="I309" s="144">
        <v>1</v>
      </c>
      <c r="J309" s="146"/>
      <c r="K309" s="147">
        <f>VLOOKUP(F309,plan3!A:H,8,FALSE)</f>
        <v>6.5</v>
      </c>
      <c r="L309" s="146">
        <v>42835</v>
      </c>
      <c r="M309" s="144" t="s">
        <v>437</v>
      </c>
      <c r="N309" s="144">
        <v>1</v>
      </c>
      <c r="O309" s="147">
        <f t="shared" si="7"/>
        <v>6.5</v>
      </c>
      <c r="P309" s="167">
        <v>42892</v>
      </c>
      <c r="Q309" s="144" t="s">
        <v>621</v>
      </c>
      <c r="R309" s="134">
        <v>339030</v>
      </c>
      <c r="S309" s="134">
        <v>35</v>
      </c>
      <c r="T309" s="134" t="s">
        <v>601</v>
      </c>
      <c r="U309" s="141"/>
    </row>
    <row r="310" spans="1:21" ht="46.5" customHeight="1" x14ac:dyDescent="0.25">
      <c r="A310" s="134" t="s">
        <v>206</v>
      </c>
      <c r="B310" s="142" t="s">
        <v>417</v>
      </c>
      <c r="C310" s="134" t="s">
        <v>418</v>
      </c>
      <c r="D310" s="143">
        <v>220300</v>
      </c>
      <c r="E310" s="142" t="s">
        <v>384</v>
      </c>
      <c r="F310" s="149">
        <v>155</v>
      </c>
      <c r="G310" s="153" t="s">
        <v>558</v>
      </c>
      <c r="H310" s="145"/>
      <c r="I310" s="149">
        <v>50</v>
      </c>
      <c r="J310" s="146"/>
      <c r="K310" s="147">
        <f>VLOOKUP(F310,plan3!A:H,8,FALSE)</f>
        <v>4.93</v>
      </c>
      <c r="L310" s="146">
        <v>42835</v>
      </c>
      <c r="M310" s="144" t="s">
        <v>431</v>
      </c>
      <c r="N310" s="144">
        <v>50</v>
      </c>
      <c r="O310" s="147">
        <f t="shared" si="7"/>
        <v>246.5</v>
      </c>
      <c r="P310" s="190">
        <v>43031</v>
      </c>
      <c r="Q310" s="191" t="s">
        <v>623</v>
      </c>
      <c r="R310" s="134">
        <v>339030</v>
      </c>
      <c r="S310" s="134">
        <v>35</v>
      </c>
      <c r="T310" s="134" t="s">
        <v>601</v>
      </c>
      <c r="U310" s="141"/>
    </row>
    <row r="311" spans="1:21" ht="46.5" customHeight="1" x14ac:dyDescent="0.25">
      <c r="A311" s="134" t="s">
        <v>206</v>
      </c>
      <c r="B311" s="142" t="s">
        <v>417</v>
      </c>
      <c r="C311" s="134" t="s">
        <v>418</v>
      </c>
      <c r="D311" s="143">
        <v>220300</v>
      </c>
      <c r="E311" s="142" t="s">
        <v>384</v>
      </c>
      <c r="F311" s="149">
        <v>164</v>
      </c>
      <c r="G311" s="153" t="s">
        <v>538</v>
      </c>
      <c r="H311" s="145"/>
      <c r="I311" s="149">
        <v>300</v>
      </c>
      <c r="J311" s="146"/>
      <c r="K311" s="147">
        <f>VLOOKUP(F311,plan3!A:H,8,FALSE)</f>
        <v>0.28000000000000003</v>
      </c>
      <c r="L311" s="146">
        <v>42835</v>
      </c>
      <c r="M311" s="144" t="s">
        <v>435</v>
      </c>
      <c r="N311" s="144">
        <v>218</v>
      </c>
      <c r="O311" s="147">
        <f t="shared" si="7"/>
        <v>61.040000000000006</v>
      </c>
      <c r="P311" s="171">
        <v>42895</v>
      </c>
      <c r="Q311" s="184" t="s">
        <v>626</v>
      </c>
      <c r="R311" s="134">
        <v>339030</v>
      </c>
      <c r="S311" s="134">
        <v>35</v>
      </c>
      <c r="T311" s="134" t="s">
        <v>628</v>
      </c>
      <c r="U311" s="141"/>
    </row>
    <row r="312" spans="1:21" ht="46.5" customHeight="1" x14ac:dyDescent="0.25">
      <c r="A312" s="134" t="s">
        <v>206</v>
      </c>
      <c r="B312" s="142" t="s">
        <v>417</v>
      </c>
      <c r="C312" s="134" t="s">
        <v>418</v>
      </c>
      <c r="D312" s="143">
        <v>220300</v>
      </c>
      <c r="E312" s="142" t="s">
        <v>384</v>
      </c>
      <c r="F312" s="149">
        <v>65</v>
      </c>
      <c r="G312" s="153" t="s">
        <v>545</v>
      </c>
      <c r="H312" s="134"/>
      <c r="I312" s="149">
        <v>40</v>
      </c>
      <c r="J312" s="146"/>
      <c r="K312" s="147">
        <f>VLOOKUP(F312,plan3!A:H,8,FALSE)</f>
        <v>4.17</v>
      </c>
      <c r="L312" s="146">
        <v>42835</v>
      </c>
      <c r="M312" s="144" t="s">
        <v>437</v>
      </c>
      <c r="N312" s="144">
        <v>29</v>
      </c>
      <c r="O312" s="147">
        <f t="shared" si="7"/>
        <v>120.92999999999999</v>
      </c>
      <c r="P312" s="167">
        <v>42892</v>
      </c>
      <c r="Q312" s="144" t="s">
        <v>621</v>
      </c>
      <c r="R312" s="134">
        <v>339030</v>
      </c>
      <c r="S312" s="134">
        <v>35</v>
      </c>
      <c r="T312" s="134" t="s">
        <v>627</v>
      </c>
      <c r="U312" s="141"/>
    </row>
    <row r="313" spans="1:21" ht="46.5" customHeight="1" x14ac:dyDescent="0.25">
      <c r="A313" s="134" t="s">
        <v>206</v>
      </c>
      <c r="B313" s="142" t="s">
        <v>417</v>
      </c>
      <c r="C313" s="134" t="s">
        <v>418</v>
      </c>
      <c r="D313" s="143">
        <v>220300</v>
      </c>
      <c r="E313" s="142" t="s">
        <v>384</v>
      </c>
      <c r="F313" s="149">
        <v>67</v>
      </c>
      <c r="G313" s="153" t="s">
        <v>551</v>
      </c>
      <c r="H313" s="145"/>
      <c r="I313" s="149">
        <v>40</v>
      </c>
      <c r="J313" s="146"/>
      <c r="K313" s="147">
        <f>VLOOKUP(F313,plan3!A:H,8,FALSE)</f>
        <v>4.41</v>
      </c>
      <c r="L313" s="146">
        <v>42835</v>
      </c>
      <c r="M313" s="144" t="s">
        <v>437</v>
      </c>
      <c r="N313" s="144">
        <v>40</v>
      </c>
      <c r="O313" s="147">
        <f t="shared" si="7"/>
        <v>176.4</v>
      </c>
      <c r="P313" s="167">
        <v>42892</v>
      </c>
      <c r="Q313" s="144" t="s">
        <v>621</v>
      </c>
      <c r="R313" s="134">
        <v>339030</v>
      </c>
      <c r="S313" s="134">
        <v>35</v>
      </c>
      <c r="T313" s="134" t="s">
        <v>601</v>
      </c>
      <c r="U313" s="141"/>
    </row>
    <row r="314" spans="1:21" ht="46.5" customHeight="1" x14ac:dyDescent="0.25">
      <c r="A314" s="134" t="s">
        <v>206</v>
      </c>
      <c r="B314" s="142" t="s">
        <v>417</v>
      </c>
      <c r="C314" s="134" t="s">
        <v>418</v>
      </c>
      <c r="D314" s="143">
        <v>220300</v>
      </c>
      <c r="E314" s="142" t="s">
        <v>384</v>
      </c>
      <c r="F314" s="144">
        <v>141</v>
      </c>
      <c r="G314" s="153" t="s">
        <v>550</v>
      </c>
      <c r="H314" s="145"/>
      <c r="I314" s="144">
        <v>10</v>
      </c>
      <c r="J314" s="146"/>
      <c r="K314" s="147">
        <v>7.0000000000000007E-2</v>
      </c>
      <c r="L314" s="146">
        <v>42835</v>
      </c>
      <c r="M314" s="144" t="s">
        <v>431</v>
      </c>
      <c r="N314" s="144">
        <v>10</v>
      </c>
      <c r="O314" s="147">
        <f t="shared" si="7"/>
        <v>0.70000000000000007</v>
      </c>
      <c r="P314" s="169">
        <v>43031</v>
      </c>
      <c r="Q314" s="186" t="s">
        <v>623</v>
      </c>
      <c r="R314" s="134">
        <v>339030</v>
      </c>
      <c r="S314" s="134">
        <v>35</v>
      </c>
      <c r="T314" s="134" t="s">
        <v>601</v>
      </c>
      <c r="U314" s="141"/>
    </row>
    <row r="315" spans="1:21" ht="46.5" customHeight="1" x14ac:dyDescent="0.25">
      <c r="A315" s="134" t="s">
        <v>206</v>
      </c>
      <c r="B315" s="142" t="s">
        <v>417</v>
      </c>
      <c r="C315" s="134" t="s">
        <v>418</v>
      </c>
      <c r="D315" s="143">
        <v>220300</v>
      </c>
      <c r="E315" s="142" t="s">
        <v>384</v>
      </c>
      <c r="F315" s="144">
        <v>146</v>
      </c>
      <c r="G315" s="153" t="s">
        <v>559</v>
      </c>
      <c r="H315" s="145"/>
      <c r="I315" s="144">
        <v>10</v>
      </c>
      <c r="J315" s="146"/>
      <c r="K315" s="147">
        <f>VLOOKUP(F315,plan3!A:H,8,FALSE)</f>
        <v>69.14</v>
      </c>
      <c r="L315" s="146">
        <v>42835</v>
      </c>
      <c r="M315" s="144" t="s">
        <v>431</v>
      </c>
      <c r="N315" s="144">
        <v>10</v>
      </c>
      <c r="O315" s="147">
        <f t="shared" si="7"/>
        <v>691.4</v>
      </c>
      <c r="P315" s="169">
        <v>43031</v>
      </c>
      <c r="Q315" s="186" t="s">
        <v>623</v>
      </c>
      <c r="R315" s="134">
        <v>339030</v>
      </c>
      <c r="S315" s="134">
        <v>35</v>
      </c>
      <c r="T315" s="134" t="s">
        <v>601</v>
      </c>
      <c r="U315" s="141"/>
    </row>
    <row r="316" spans="1:21" ht="46.5" customHeight="1" x14ac:dyDescent="0.25">
      <c r="A316" s="134" t="s">
        <v>206</v>
      </c>
      <c r="B316" s="142" t="s">
        <v>417</v>
      </c>
      <c r="C316" s="134" t="s">
        <v>418</v>
      </c>
      <c r="D316" s="143">
        <v>220500</v>
      </c>
      <c r="E316" s="142" t="s">
        <v>385</v>
      </c>
      <c r="F316" s="144">
        <v>155</v>
      </c>
      <c r="G316" s="153" t="s">
        <v>558</v>
      </c>
      <c r="H316" s="145"/>
      <c r="I316" s="144">
        <v>32</v>
      </c>
      <c r="J316" s="146"/>
      <c r="K316" s="147">
        <f>VLOOKUP(F316,plan3!A:H,8,FALSE)</f>
        <v>4.93</v>
      </c>
      <c r="L316" s="146">
        <v>42835</v>
      </c>
      <c r="M316" s="144" t="s">
        <v>431</v>
      </c>
      <c r="N316" s="144">
        <v>32</v>
      </c>
      <c r="O316" s="147">
        <f t="shared" ref="O316:O364" si="8">N316*K316</f>
        <v>157.76</v>
      </c>
      <c r="P316" s="190">
        <v>43031</v>
      </c>
      <c r="Q316" s="186" t="s">
        <v>623</v>
      </c>
      <c r="R316" s="134">
        <v>339030</v>
      </c>
      <c r="S316" s="134">
        <v>35</v>
      </c>
      <c r="T316" s="134" t="s">
        <v>601</v>
      </c>
      <c r="U316" s="141"/>
    </row>
    <row r="317" spans="1:21" ht="46.5" customHeight="1" x14ac:dyDescent="0.25">
      <c r="A317" s="134" t="s">
        <v>206</v>
      </c>
      <c r="B317" s="142" t="s">
        <v>417</v>
      </c>
      <c r="C317" s="134" t="s">
        <v>418</v>
      </c>
      <c r="D317" s="143">
        <v>220500</v>
      </c>
      <c r="E317" s="142" t="s">
        <v>385</v>
      </c>
      <c r="F317" s="144">
        <v>164</v>
      </c>
      <c r="G317" s="153" t="s">
        <v>538</v>
      </c>
      <c r="H317" s="145"/>
      <c r="I317" s="144">
        <v>200</v>
      </c>
      <c r="J317" s="146"/>
      <c r="K317" s="147">
        <f>VLOOKUP(F317,plan3!A:H,8,FALSE)</f>
        <v>0.28000000000000003</v>
      </c>
      <c r="L317" s="146">
        <v>42835</v>
      </c>
      <c r="M317" s="144" t="s">
        <v>435</v>
      </c>
      <c r="N317" s="144">
        <v>200</v>
      </c>
      <c r="O317" s="147">
        <f t="shared" si="8"/>
        <v>56.000000000000007</v>
      </c>
      <c r="P317" s="167">
        <v>42895</v>
      </c>
      <c r="Q317" s="184" t="s">
        <v>626</v>
      </c>
      <c r="R317" s="134">
        <v>339030</v>
      </c>
      <c r="S317" s="134">
        <v>35</v>
      </c>
      <c r="T317" s="134" t="s">
        <v>601</v>
      </c>
      <c r="U317" s="141"/>
    </row>
    <row r="318" spans="1:21" ht="46.5" customHeight="1" x14ac:dyDescent="0.25">
      <c r="A318" s="134" t="s">
        <v>206</v>
      </c>
      <c r="B318" s="142" t="s">
        <v>417</v>
      </c>
      <c r="C318" s="134" t="s">
        <v>418</v>
      </c>
      <c r="D318" s="143">
        <v>220500</v>
      </c>
      <c r="E318" s="142" t="s">
        <v>385</v>
      </c>
      <c r="F318" s="144">
        <v>5</v>
      </c>
      <c r="G318" s="153" t="s">
        <v>560</v>
      </c>
      <c r="H318" s="145"/>
      <c r="I318" s="144">
        <v>6</v>
      </c>
      <c r="J318" s="146"/>
      <c r="K318" s="147">
        <f>VLOOKUP(F318,plan3!A:H,8,FALSE)</f>
        <v>3.2</v>
      </c>
      <c r="L318" s="146">
        <v>42835</v>
      </c>
      <c r="M318" s="144" t="s">
        <v>434</v>
      </c>
      <c r="N318" s="144">
        <v>6</v>
      </c>
      <c r="O318" s="147">
        <f t="shared" si="8"/>
        <v>19.200000000000003</v>
      </c>
      <c r="P318" s="139" t="s">
        <v>625</v>
      </c>
      <c r="Q318" s="144"/>
      <c r="R318" s="134">
        <v>339030</v>
      </c>
      <c r="S318" s="134">
        <v>35</v>
      </c>
      <c r="T318" s="134" t="s">
        <v>646</v>
      </c>
      <c r="U318" s="141"/>
    </row>
    <row r="319" spans="1:21" ht="46.5" customHeight="1" x14ac:dyDescent="0.25">
      <c r="A319" s="134" t="s">
        <v>206</v>
      </c>
      <c r="B319" s="142" t="s">
        <v>417</v>
      </c>
      <c r="C319" s="134" t="s">
        <v>418</v>
      </c>
      <c r="D319" s="143">
        <v>220500</v>
      </c>
      <c r="E319" s="142" t="s">
        <v>385</v>
      </c>
      <c r="F319" s="144">
        <v>13</v>
      </c>
      <c r="G319" s="153" t="s">
        <v>539</v>
      </c>
      <c r="H319" s="145"/>
      <c r="I319" s="144">
        <v>5</v>
      </c>
      <c r="J319" s="146"/>
      <c r="K319" s="147">
        <f>VLOOKUP(F319,plan3!A:H,8,FALSE)</f>
        <v>296.99</v>
      </c>
      <c r="L319" s="146">
        <v>42835</v>
      </c>
      <c r="M319" s="144" t="s">
        <v>435</v>
      </c>
      <c r="N319" s="144">
        <v>5</v>
      </c>
      <c r="O319" s="147">
        <f t="shared" si="8"/>
        <v>1484.95</v>
      </c>
      <c r="P319" s="171">
        <v>42895</v>
      </c>
      <c r="Q319" s="192" t="s">
        <v>626</v>
      </c>
      <c r="R319" s="134">
        <v>339030</v>
      </c>
      <c r="S319" s="134">
        <v>35</v>
      </c>
      <c r="T319" s="134" t="s">
        <v>601</v>
      </c>
      <c r="U319" s="141"/>
    </row>
    <row r="320" spans="1:21" ht="46.5" customHeight="1" x14ac:dyDescent="0.25">
      <c r="A320" s="134" t="s">
        <v>206</v>
      </c>
      <c r="B320" s="142" t="s">
        <v>417</v>
      </c>
      <c r="C320" s="134" t="s">
        <v>418</v>
      </c>
      <c r="D320" s="143">
        <v>220500</v>
      </c>
      <c r="E320" s="142" t="s">
        <v>385</v>
      </c>
      <c r="F320" s="144">
        <v>48</v>
      </c>
      <c r="G320" s="153" t="s">
        <v>544</v>
      </c>
      <c r="H320" s="145"/>
      <c r="I320" s="144">
        <v>3</v>
      </c>
      <c r="J320" s="146"/>
      <c r="K320" s="147">
        <f>VLOOKUP(F320,plan3!A:H,8,FALSE)</f>
        <v>2.29</v>
      </c>
      <c r="L320" s="146">
        <v>42835</v>
      </c>
      <c r="M320" s="144" t="s">
        <v>436</v>
      </c>
      <c r="N320" s="144">
        <v>3</v>
      </c>
      <c r="O320" s="147">
        <f t="shared" si="8"/>
        <v>6.87</v>
      </c>
      <c r="P320" s="169">
        <v>42898</v>
      </c>
      <c r="Q320" s="186" t="s">
        <v>620</v>
      </c>
      <c r="R320" s="134">
        <v>339030</v>
      </c>
      <c r="S320" s="134">
        <v>35</v>
      </c>
      <c r="T320" s="134" t="s">
        <v>601</v>
      </c>
      <c r="U320" s="141"/>
    </row>
    <row r="321" spans="1:21" ht="46.5" customHeight="1" x14ac:dyDescent="0.25">
      <c r="A321" s="134" t="s">
        <v>206</v>
      </c>
      <c r="B321" s="142" t="s">
        <v>417</v>
      </c>
      <c r="C321" s="134" t="s">
        <v>418</v>
      </c>
      <c r="D321" s="143">
        <v>220500</v>
      </c>
      <c r="E321" s="142" t="s">
        <v>385</v>
      </c>
      <c r="F321" s="144">
        <v>50</v>
      </c>
      <c r="G321" s="153" t="s">
        <v>553</v>
      </c>
      <c r="H321" s="145"/>
      <c r="I321" s="144">
        <v>5</v>
      </c>
      <c r="J321" s="146"/>
      <c r="K321" s="147">
        <f>VLOOKUP(F321,plan3!A:H,8,FALSE)</f>
        <v>2.17</v>
      </c>
      <c r="L321" s="146">
        <v>42835</v>
      </c>
      <c r="M321" s="144" t="s">
        <v>436</v>
      </c>
      <c r="N321" s="144">
        <v>5</v>
      </c>
      <c r="O321" s="147">
        <f t="shared" si="8"/>
        <v>10.85</v>
      </c>
      <c r="P321" s="169">
        <v>42898</v>
      </c>
      <c r="Q321" s="186" t="s">
        <v>620</v>
      </c>
      <c r="R321" s="134">
        <v>339030</v>
      </c>
      <c r="S321" s="134">
        <v>35</v>
      </c>
      <c r="T321" s="134" t="s">
        <v>601</v>
      </c>
      <c r="U321" s="141"/>
    </row>
    <row r="322" spans="1:21" ht="55.5" customHeight="1" x14ac:dyDescent="0.25">
      <c r="A322" s="134" t="s">
        <v>206</v>
      </c>
      <c r="B322" s="142" t="s">
        <v>417</v>
      </c>
      <c r="C322" s="134" t="s">
        <v>418</v>
      </c>
      <c r="D322" s="143">
        <v>220500</v>
      </c>
      <c r="E322" s="142" t="s">
        <v>385</v>
      </c>
      <c r="F322" s="144">
        <v>169</v>
      </c>
      <c r="G322" s="153" t="s">
        <v>546</v>
      </c>
      <c r="H322" s="145"/>
      <c r="I322" s="144">
        <v>5</v>
      </c>
      <c r="J322" s="146"/>
      <c r="K322" s="147">
        <f>VLOOKUP(F322,plan3!A:H,8,FALSE)</f>
        <v>25</v>
      </c>
      <c r="L322" s="146">
        <v>42835</v>
      </c>
      <c r="M322" s="144" t="s">
        <v>432</v>
      </c>
      <c r="N322" s="144">
        <v>5</v>
      </c>
      <c r="O322" s="147">
        <f t="shared" si="8"/>
        <v>125</v>
      </c>
      <c r="P322" s="167">
        <v>42914</v>
      </c>
      <c r="Q322" s="144" t="s">
        <v>617</v>
      </c>
      <c r="R322" s="134">
        <v>339030</v>
      </c>
      <c r="S322" s="134">
        <v>35</v>
      </c>
      <c r="T322" s="134" t="s">
        <v>601</v>
      </c>
      <c r="U322" s="141"/>
    </row>
    <row r="323" spans="1:21" ht="55.5" customHeight="1" x14ac:dyDescent="0.25">
      <c r="A323" s="134" t="s">
        <v>206</v>
      </c>
      <c r="B323" s="142" t="s">
        <v>417</v>
      </c>
      <c r="C323" s="134" t="s">
        <v>418</v>
      </c>
      <c r="D323" s="143">
        <v>220500</v>
      </c>
      <c r="E323" s="142" t="s">
        <v>385</v>
      </c>
      <c r="F323" s="144">
        <v>128</v>
      </c>
      <c r="G323" s="153" t="s">
        <v>549</v>
      </c>
      <c r="H323" s="145"/>
      <c r="I323" s="144">
        <v>2</v>
      </c>
      <c r="J323" s="146"/>
      <c r="K323" s="147">
        <f>VLOOKUP(F323,plan3!A:H,8,FALSE)</f>
        <v>34.19</v>
      </c>
      <c r="L323" s="146">
        <v>42835</v>
      </c>
      <c r="M323" s="144" t="s">
        <v>429</v>
      </c>
      <c r="N323" s="144">
        <v>2</v>
      </c>
      <c r="O323" s="147">
        <f t="shared" si="8"/>
        <v>68.38</v>
      </c>
      <c r="P323" s="177">
        <v>42898</v>
      </c>
      <c r="Q323" s="144" t="s">
        <v>616</v>
      </c>
      <c r="R323" s="134">
        <v>339030</v>
      </c>
      <c r="S323" s="134">
        <v>35</v>
      </c>
      <c r="T323" s="134" t="s">
        <v>601</v>
      </c>
      <c r="U323" s="141"/>
    </row>
    <row r="324" spans="1:21" ht="55.5" customHeight="1" x14ac:dyDescent="0.25">
      <c r="A324" s="134" t="s">
        <v>206</v>
      </c>
      <c r="B324" s="142" t="s">
        <v>417</v>
      </c>
      <c r="C324" s="134" t="s">
        <v>418</v>
      </c>
      <c r="D324" s="143">
        <v>220500</v>
      </c>
      <c r="E324" s="142" t="s">
        <v>385</v>
      </c>
      <c r="F324" s="144">
        <v>170</v>
      </c>
      <c r="G324" s="153" t="s">
        <v>561</v>
      </c>
      <c r="H324" s="145"/>
      <c r="I324" s="144">
        <v>43</v>
      </c>
      <c r="J324" s="146"/>
      <c r="K324" s="147">
        <f>VLOOKUP(F324,plan3!A:H,8,FALSE)</f>
        <v>0.5</v>
      </c>
      <c r="L324" s="146">
        <v>42835</v>
      </c>
      <c r="M324" s="144" t="s">
        <v>431</v>
      </c>
      <c r="N324" s="144">
        <v>43</v>
      </c>
      <c r="O324" s="147">
        <f t="shared" si="8"/>
        <v>21.5</v>
      </c>
      <c r="P324" s="169">
        <v>43031</v>
      </c>
      <c r="Q324" s="186" t="s">
        <v>623</v>
      </c>
      <c r="R324" s="134">
        <v>339030</v>
      </c>
      <c r="S324" s="134">
        <v>35</v>
      </c>
      <c r="T324" s="134" t="s">
        <v>601</v>
      </c>
      <c r="U324" s="141"/>
    </row>
    <row r="325" spans="1:21" ht="55.5" customHeight="1" x14ac:dyDescent="0.25">
      <c r="A325" s="134" t="s">
        <v>206</v>
      </c>
      <c r="B325" s="142" t="s">
        <v>417</v>
      </c>
      <c r="C325" s="134" t="s">
        <v>418</v>
      </c>
      <c r="D325" s="143">
        <v>220500</v>
      </c>
      <c r="E325" s="142" t="s">
        <v>385</v>
      </c>
      <c r="F325" s="144">
        <v>146</v>
      </c>
      <c r="G325" s="153" t="s">
        <v>559</v>
      </c>
      <c r="H325" s="145"/>
      <c r="I325" s="144">
        <v>5</v>
      </c>
      <c r="J325" s="146"/>
      <c r="K325" s="147">
        <f>VLOOKUP(F325,plan3!A:H,8,FALSE)</f>
        <v>69.14</v>
      </c>
      <c r="L325" s="146">
        <v>42835</v>
      </c>
      <c r="M325" s="144" t="s">
        <v>431</v>
      </c>
      <c r="N325" s="144">
        <v>5</v>
      </c>
      <c r="O325" s="147">
        <f t="shared" si="8"/>
        <v>345.7</v>
      </c>
      <c r="P325" s="169">
        <v>43031</v>
      </c>
      <c r="Q325" s="186" t="s">
        <v>623</v>
      </c>
      <c r="R325" s="134">
        <v>339030</v>
      </c>
      <c r="S325" s="134">
        <v>35</v>
      </c>
      <c r="T325" s="134" t="s">
        <v>601</v>
      </c>
      <c r="U325" s="141"/>
    </row>
    <row r="326" spans="1:21" ht="55.5" customHeight="1" x14ac:dyDescent="0.25">
      <c r="A326" s="134" t="s">
        <v>206</v>
      </c>
      <c r="B326" s="142" t="s">
        <v>417</v>
      </c>
      <c r="C326" s="134" t="s">
        <v>418</v>
      </c>
      <c r="D326" s="143">
        <v>260000</v>
      </c>
      <c r="E326" s="142" t="s">
        <v>386</v>
      </c>
      <c r="F326" s="144">
        <v>169</v>
      </c>
      <c r="G326" s="153" t="s">
        <v>546</v>
      </c>
      <c r="H326" s="145"/>
      <c r="I326" s="144">
        <v>1</v>
      </c>
      <c r="J326" s="146"/>
      <c r="K326" s="147">
        <f>VLOOKUP(F326,plan3!A:H,8,FALSE)</f>
        <v>25</v>
      </c>
      <c r="L326" s="146">
        <v>42835</v>
      </c>
      <c r="M326" s="144" t="s">
        <v>432</v>
      </c>
      <c r="N326" s="144">
        <v>1</v>
      </c>
      <c r="O326" s="147">
        <f t="shared" si="8"/>
        <v>25</v>
      </c>
      <c r="P326" s="167">
        <v>42914</v>
      </c>
      <c r="Q326" s="144" t="s">
        <v>617</v>
      </c>
      <c r="R326" s="134">
        <v>339030</v>
      </c>
      <c r="S326" s="134">
        <v>35</v>
      </c>
      <c r="T326" s="134" t="s">
        <v>601</v>
      </c>
      <c r="U326" s="141"/>
    </row>
    <row r="327" spans="1:21" ht="55.5" customHeight="1" x14ac:dyDescent="0.25">
      <c r="A327" s="134" t="s">
        <v>206</v>
      </c>
      <c r="B327" s="142" t="s">
        <v>417</v>
      </c>
      <c r="C327" s="134" t="s">
        <v>418</v>
      </c>
      <c r="D327" s="143">
        <v>260000</v>
      </c>
      <c r="E327" s="142" t="s">
        <v>386</v>
      </c>
      <c r="F327" s="144">
        <v>146</v>
      </c>
      <c r="G327" s="153" t="s">
        <v>559</v>
      </c>
      <c r="H327" s="145"/>
      <c r="I327" s="144">
        <v>2</v>
      </c>
      <c r="J327" s="146"/>
      <c r="K327" s="147">
        <f>VLOOKUP(F327,plan3!A:H,8,FALSE)</f>
        <v>69.14</v>
      </c>
      <c r="L327" s="146">
        <v>42835</v>
      </c>
      <c r="M327" s="144" t="s">
        <v>431</v>
      </c>
      <c r="N327" s="144">
        <v>2</v>
      </c>
      <c r="O327" s="147">
        <f t="shared" si="8"/>
        <v>138.28</v>
      </c>
      <c r="P327" s="189">
        <v>43031</v>
      </c>
      <c r="Q327" s="186" t="s">
        <v>623</v>
      </c>
      <c r="R327" s="134">
        <v>339030</v>
      </c>
      <c r="S327" s="134">
        <v>35</v>
      </c>
      <c r="T327" s="134" t="s">
        <v>601</v>
      </c>
      <c r="U327" s="141"/>
    </row>
    <row r="328" spans="1:21" ht="55.5" customHeight="1" x14ac:dyDescent="0.25">
      <c r="A328" s="134" t="s">
        <v>206</v>
      </c>
      <c r="B328" s="142" t="s">
        <v>417</v>
      </c>
      <c r="C328" s="134" t="s">
        <v>418</v>
      </c>
      <c r="D328" s="143">
        <v>230100</v>
      </c>
      <c r="E328" s="142" t="s">
        <v>387</v>
      </c>
      <c r="F328" s="144">
        <v>21</v>
      </c>
      <c r="G328" s="153" t="s">
        <v>540</v>
      </c>
      <c r="H328" s="145"/>
      <c r="I328" s="144">
        <v>1</v>
      </c>
      <c r="J328" s="146"/>
      <c r="K328" s="147">
        <f>VLOOKUP(F328,plan3!A:H,8,FALSE)</f>
        <v>113.5</v>
      </c>
      <c r="L328" s="146">
        <v>42835</v>
      </c>
      <c r="M328" s="144" t="s">
        <v>433</v>
      </c>
      <c r="N328" s="144">
        <v>1</v>
      </c>
      <c r="O328" s="147">
        <f t="shared" si="8"/>
        <v>113.5</v>
      </c>
      <c r="P328" s="167">
        <v>42905</v>
      </c>
      <c r="Q328" s="140" t="s">
        <v>624</v>
      </c>
      <c r="R328" s="134">
        <v>339030</v>
      </c>
      <c r="S328" s="134">
        <v>35</v>
      </c>
      <c r="T328" s="134" t="s">
        <v>601</v>
      </c>
      <c r="U328" s="141"/>
    </row>
    <row r="329" spans="1:21" ht="55.5" customHeight="1" x14ac:dyDescent="0.25">
      <c r="A329" s="134" t="s">
        <v>206</v>
      </c>
      <c r="B329" s="142" t="s">
        <v>417</v>
      </c>
      <c r="C329" s="134" t="s">
        <v>418</v>
      </c>
      <c r="D329" s="143">
        <v>230100</v>
      </c>
      <c r="E329" s="142" t="s">
        <v>387</v>
      </c>
      <c r="F329" s="144">
        <v>24</v>
      </c>
      <c r="G329" s="153" t="s">
        <v>562</v>
      </c>
      <c r="H329" s="145"/>
      <c r="I329" s="144">
        <v>1</v>
      </c>
      <c r="J329" s="146"/>
      <c r="K329" s="147">
        <f>VLOOKUP(F329,plan3!A:H,8,FALSE)</f>
        <v>115</v>
      </c>
      <c r="L329" s="146">
        <v>42835</v>
      </c>
      <c r="M329" s="144" t="s">
        <v>433</v>
      </c>
      <c r="N329" s="144">
        <v>1</v>
      </c>
      <c r="O329" s="147">
        <f t="shared" si="8"/>
        <v>115</v>
      </c>
      <c r="P329" s="167">
        <v>42905</v>
      </c>
      <c r="Q329" s="140" t="s">
        <v>624</v>
      </c>
      <c r="R329" s="134">
        <v>339030</v>
      </c>
      <c r="S329" s="134">
        <v>35</v>
      </c>
      <c r="T329" s="134" t="s">
        <v>601</v>
      </c>
      <c r="U329" s="141"/>
    </row>
    <row r="330" spans="1:21" ht="55.5" customHeight="1" x14ac:dyDescent="0.25">
      <c r="A330" s="134" t="s">
        <v>206</v>
      </c>
      <c r="B330" s="142" t="s">
        <v>417</v>
      </c>
      <c r="C330" s="134" t="s">
        <v>418</v>
      </c>
      <c r="D330" s="143">
        <v>230100</v>
      </c>
      <c r="E330" s="142" t="s">
        <v>387</v>
      </c>
      <c r="F330" s="144">
        <v>25</v>
      </c>
      <c r="G330" s="153" t="s">
        <v>563</v>
      </c>
      <c r="H330" s="145"/>
      <c r="I330" s="144">
        <v>1</v>
      </c>
      <c r="J330" s="146"/>
      <c r="K330" s="147">
        <f>VLOOKUP(F330,plan3!A:H,8,FALSE)</f>
        <v>118</v>
      </c>
      <c r="L330" s="146">
        <v>42835</v>
      </c>
      <c r="M330" s="144" t="s">
        <v>433</v>
      </c>
      <c r="N330" s="144">
        <v>1</v>
      </c>
      <c r="O330" s="147">
        <f t="shared" si="8"/>
        <v>118</v>
      </c>
      <c r="P330" s="167">
        <v>42905</v>
      </c>
      <c r="Q330" s="140" t="s">
        <v>624</v>
      </c>
      <c r="R330" s="134">
        <v>339030</v>
      </c>
      <c r="S330" s="134">
        <v>35</v>
      </c>
      <c r="T330" s="134" t="s">
        <v>601</v>
      </c>
      <c r="U330" s="141"/>
    </row>
    <row r="331" spans="1:21" ht="55.5" customHeight="1" x14ac:dyDescent="0.25">
      <c r="A331" s="134" t="s">
        <v>206</v>
      </c>
      <c r="B331" s="142" t="s">
        <v>417</v>
      </c>
      <c r="C331" s="134" t="s">
        <v>418</v>
      </c>
      <c r="D331" s="143">
        <v>230100</v>
      </c>
      <c r="E331" s="142" t="s">
        <v>387</v>
      </c>
      <c r="F331" s="144">
        <v>29</v>
      </c>
      <c r="G331" s="153" t="s">
        <v>564</v>
      </c>
      <c r="H331" s="145"/>
      <c r="I331" s="144">
        <v>1</v>
      </c>
      <c r="J331" s="146"/>
      <c r="K331" s="147">
        <f>VLOOKUP(F331,plan3!A:H,8,FALSE)</f>
        <v>110.41</v>
      </c>
      <c r="L331" s="146">
        <v>42835</v>
      </c>
      <c r="M331" s="144" t="s">
        <v>433</v>
      </c>
      <c r="N331" s="144">
        <v>1</v>
      </c>
      <c r="O331" s="147">
        <f t="shared" si="8"/>
        <v>110.41</v>
      </c>
      <c r="P331" s="167">
        <v>42905</v>
      </c>
      <c r="Q331" s="140" t="s">
        <v>624</v>
      </c>
      <c r="R331" s="134">
        <v>339030</v>
      </c>
      <c r="S331" s="134">
        <v>35</v>
      </c>
      <c r="T331" s="134" t="s">
        <v>601</v>
      </c>
      <c r="U331" s="141"/>
    </row>
    <row r="332" spans="1:21" ht="55.5" customHeight="1" x14ac:dyDescent="0.25">
      <c r="A332" s="134" t="s">
        <v>206</v>
      </c>
      <c r="B332" s="142" t="s">
        <v>417</v>
      </c>
      <c r="C332" s="134" t="s">
        <v>418</v>
      </c>
      <c r="D332" s="143">
        <v>230100</v>
      </c>
      <c r="E332" s="142" t="s">
        <v>387</v>
      </c>
      <c r="F332" s="144">
        <v>31</v>
      </c>
      <c r="G332" s="153" t="s">
        <v>565</v>
      </c>
      <c r="H332" s="145"/>
      <c r="I332" s="144">
        <v>1</v>
      </c>
      <c r="J332" s="146"/>
      <c r="K332" s="147">
        <f>VLOOKUP(F332,plan3!A:H,8,FALSE)</f>
        <v>110</v>
      </c>
      <c r="L332" s="146">
        <v>42835</v>
      </c>
      <c r="M332" s="144" t="s">
        <v>433</v>
      </c>
      <c r="N332" s="144">
        <v>1</v>
      </c>
      <c r="O332" s="147">
        <f t="shared" si="8"/>
        <v>110</v>
      </c>
      <c r="P332" s="167">
        <v>42905</v>
      </c>
      <c r="Q332" s="140" t="s">
        <v>624</v>
      </c>
      <c r="R332" s="134">
        <v>339030</v>
      </c>
      <c r="S332" s="134">
        <v>35</v>
      </c>
      <c r="T332" s="134" t="s">
        <v>601</v>
      </c>
      <c r="U332" s="141"/>
    </row>
    <row r="333" spans="1:21" ht="55.5" customHeight="1" x14ac:dyDescent="0.25">
      <c r="A333" s="134" t="s">
        <v>206</v>
      </c>
      <c r="B333" s="142" t="s">
        <v>417</v>
      </c>
      <c r="C333" s="134" t="s">
        <v>418</v>
      </c>
      <c r="D333" s="143">
        <v>230100</v>
      </c>
      <c r="E333" s="142" t="s">
        <v>387</v>
      </c>
      <c r="F333" s="144">
        <v>34</v>
      </c>
      <c r="G333" s="153" t="s">
        <v>566</v>
      </c>
      <c r="H333" s="145"/>
      <c r="I333" s="144">
        <v>1</v>
      </c>
      <c r="J333" s="146"/>
      <c r="K333" s="147">
        <f>VLOOKUP(F333,plan3!A:H,8,FALSE)</f>
        <v>204.5</v>
      </c>
      <c r="L333" s="146">
        <v>42835</v>
      </c>
      <c r="M333" s="144" t="s">
        <v>433</v>
      </c>
      <c r="N333" s="144">
        <v>1</v>
      </c>
      <c r="O333" s="147">
        <f t="shared" si="8"/>
        <v>204.5</v>
      </c>
      <c r="P333" s="167">
        <v>42905</v>
      </c>
      <c r="Q333" s="140" t="s">
        <v>624</v>
      </c>
      <c r="R333" s="134">
        <v>339030</v>
      </c>
      <c r="S333" s="134">
        <v>35</v>
      </c>
      <c r="T333" s="134" t="s">
        <v>601</v>
      </c>
      <c r="U333" s="141"/>
    </row>
    <row r="334" spans="1:21" ht="55.5" customHeight="1" x14ac:dyDescent="0.25">
      <c r="A334" s="134" t="s">
        <v>206</v>
      </c>
      <c r="B334" s="142" t="s">
        <v>417</v>
      </c>
      <c r="C334" s="134" t="s">
        <v>418</v>
      </c>
      <c r="D334" s="143">
        <v>230100</v>
      </c>
      <c r="E334" s="142" t="s">
        <v>387</v>
      </c>
      <c r="F334" s="144">
        <v>39</v>
      </c>
      <c r="G334" s="153" t="s">
        <v>567</v>
      </c>
      <c r="H334" s="145"/>
      <c r="I334" s="144">
        <v>1</v>
      </c>
      <c r="J334" s="146"/>
      <c r="K334" s="147">
        <f>VLOOKUP(F334,plan3!A:H,8,FALSE)</f>
        <v>106.5</v>
      </c>
      <c r="L334" s="146">
        <v>42835</v>
      </c>
      <c r="M334" s="144" t="s">
        <v>433</v>
      </c>
      <c r="N334" s="144">
        <v>1</v>
      </c>
      <c r="O334" s="147">
        <f t="shared" si="8"/>
        <v>106.5</v>
      </c>
      <c r="P334" s="171">
        <v>42905</v>
      </c>
      <c r="Q334" s="140" t="s">
        <v>624</v>
      </c>
      <c r="R334" s="134">
        <v>339030</v>
      </c>
      <c r="S334" s="134">
        <v>35</v>
      </c>
      <c r="T334" s="134" t="s">
        <v>601</v>
      </c>
      <c r="U334" s="141"/>
    </row>
    <row r="335" spans="1:21" ht="55.5" customHeight="1" x14ac:dyDescent="0.25">
      <c r="A335" s="134" t="s">
        <v>206</v>
      </c>
      <c r="B335" s="142" t="s">
        <v>417</v>
      </c>
      <c r="C335" s="134" t="s">
        <v>418</v>
      </c>
      <c r="D335" s="143">
        <v>230100</v>
      </c>
      <c r="E335" s="142" t="s">
        <v>387</v>
      </c>
      <c r="F335" s="144">
        <v>151</v>
      </c>
      <c r="G335" s="153" t="s">
        <v>554</v>
      </c>
      <c r="H335" s="145"/>
      <c r="I335" s="144">
        <v>10</v>
      </c>
      <c r="J335" s="146"/>
      <c r="K335" s="147">
        <f>VLOOKUP(F335,plan3!A:H,8,FALSE)</f>
        <v>3.99</v>
      </c>
      <c r="L335" s="146">
        <v>42835</v>
      </c>
      <c r="M335" s="144" t="s">
        <v>437</v>
      </c>
      <c r="N335" s="144">
        <v>10</v>
      </c>
      <c r="O335" s="147">
        <f t="shared" si="8"/>
        <v>39.900000000000006</v>
      </c>
      <c r="P335" s="167">
        <v>42892</v>
      </c>
      <c r="Q335" s="144" t="s">
        <v>621</v>
      </c>
      <c r="R335" s="134">
        <v>339030</v>
      </c>
      <c r="S335" s="134">
        <v>35</v>
      </c>
      <c r="T335" s="134" t="s">
        <v>601</v>
      </c>
      <c r="U335" s="141"/>
    </row>
    <row r="336" spans="1:21" ht="55.5" customHeight="1" x14ac:dyDescent="0.25">
      <c r="A336" s="134" t="s">
        <v>206</v>
      </c>
      <c r="B336" s="142" t="s">
        <v>417</v>
      </c>
      <c r="C336" s="134" t="s">
        <v>418</v>
      </c>
      <c r="D336" s="143">
        <v>270400</v>
      </c>
      <c r="E336" s="142" t="s">
        <v>388</v>
      </c>
      <c r="F336" s="144">
        <v>155</v>
      </c>
      <c r="G336" s="153" t="s">
        <v>558</v>
      </c>
      <c r="H336" s="145"/>
      <c r="I336" s="144">
        <v>10</v>
      </c>
      <c r="J336" s="146"/>
      <c r="K336" s="147">
        <f>VLOOKUP(F336,plan3!A:H,8,FALSE)</f>
        <v>4.93</v>
      </c>
      <c r="L336" s="146">
        <v>42835</v>
      </c>
      <c r="M336" s="144" t="s">
        <v>431</v>
      </c>
      <c r="N336" s="144">
        <v>10</v>
      </c>
      <c r="O336" s="147">
        <f t="shared" si="8"/>
        <v>49.3</v>
      </c>
      <c r="P336" s="190">
        <v>43031</v>
      </c>
      <c r="Q336" s="186" t="s">
        <v>623</v>
      </c>
      <c r="R336" s="134">
        <v>339030</v>
      </c>
      <c r="S336" s="134">
        <v>35</v>
      </c>
      <c r="T336" s="134" t="s">
        <v>601</v>
      </c>
      <c r="U336" s="141"/>
    </row>
    <row r="337" spans="1:21" ht="55.5" customHeight="1" x14ac:dyDescent="0.25">
      <c r="A337" s="134" t="s">
        <v>206</v>
      </c>
      <c r="B337" s="142" t="s">
        <v>417</v>
      </c>
      <c r="C337" s="134" t="s">
        <v>418</v>
      </c>
      <c r="D337" s="143">
        <v>270400</v>
      </c>
      <c r="E337" s="142" t="s">
        <v>388</v>
      </c>
      <c r="F337" s="144">
        <v>164</v>
      </c>
      <c r="G337" s="153" t="s">
        <v>538</v>
      </c>
      <c r="H337" s="145"/>
      <c r="I337" s="144">
        <v>52</v>
      </c>
      <c r="J337" s="146"/>
      <c r="K337" s="147">
        <f>VLOOKUP(F337,plan3!A:H,8,FALSE)</f>
        <v>0.28000000000000003</v>
      </c>
      <c r="L337" s="146">
        <v>42835</v>
      </c>
      <c r="M337" s="144" t="s">
        <v>435</v>
      </c>
      <c r="N337" s="144">
        <v>52</v>
      </c>
      <c r="O337" s="147">
        <f t="shared" si="8"/>
        <v>14.560000000000002</v>
      </c>
      <c r="P337" s="167">
        <v>42895</v>
      </c>
      <c r="Q337" s="184" t="s">
        <v>626</v>
      </c>
      <c r="R337" s="134">
        <v>339030</v>
      </c>
      <c r="S337" s="134">
        <v>35</v>
      </c>
      <c r="T337" s="134" t="s">
        <v>601</v>
      </c>
      <c r="U337" s="141"/>
    </row>
    <row r="338" spans="1:21" ht="55.5" customHeight="1" x14ac:dyDescent="0.25">
      <c r="A338" s="134" t="s">
        <v>206</v>
      </c>
      <c r="B338" s="142" t="s">
        <v>417</v>
      </c>
      <c r="C338" s="134" t="s">
        <v>418</v>
      </c>
      <c r="D338" s="143">
        <v>270400</v>
      </c>
      <c r="E338" s="142" t="s">
        <v>388</v>
      </c>
      <c r="F338" s="144">
        <v>13</v>
      </c>
      <c r="G338" s="153" t="s">
        <v>539</v>
      </c>
      <c r="H338" s="145"/>
      <c r="I338" s="144">
        <v>12</v>
      </c>
      <c r="J338" s="146"/>
      <c r="K338" s="147">
        <f>VLOOKUP(F338,plan3!A:H,8,FALSE)</f>
        <v>296.99</v>
      </c>
      <c r="L338" s="146">
        <v>42835</v>
      </c>
      <c r="M338" s="144" t="s">
        <v>435</v>
      </c>
      <c r="N338" s="144">
        <v>12</v>
      </c>
      <c r="O338" s="147">
        <f t="shared" si="8"/>
        <v>3563.88</v>
      </c>
      <c r="P338" s="167">
        <v>42895</v>
      </c>
      <c r="Q338" s="184" t="s">
        <v>626</v>
      </c>
      <c r="R338" s="134">
        <v>339030</v>
      </c>
      <c r="S338" s="134">
        <v>35</v>
      </c>
      <c r="T338" s="134" t="s">
        <v>601</v>
      </c>
      <c r="U338" s="141"/>
    </row>
    <row r="339" spans="1:21" ht="55.5" customHeight="1" x14ac:dyDescent="0.25">
      <c r="A339" s="134" t="s">
        <v>206</v>
      </c>
      <c r="B339" s="142" t="s">
        <v>417</v>
      </c>
      <c r="C339" s="134" t="s">
        <v>418</v>
      </c>
      <c r="D339" s="143">
        <v>270400</v>
      </c>
      <c r="E339" s="142" t="s">
        <v>388</v>
      </c>
      <c r="F339" s="144">
        <v>22</v>
      </c>
      <c r="G339" s="153" t="s">
        <v>556</v>
      </c>
      <c r="H339" s="145"/>
      <c r="I339" s="144">
        <v>1</v>
      </c>
      <c r="J339" s="146"/>
      <c r="K339" s="147">
        <f>VLOOKUP(F339,plan3!A:H,8,FALSE)</f>
        <v>115</v>
      </c>
      <c r="L339" s="146">
        <v>42835</v>
      </c>
      <c r="M339" s="144" t="s">
        <v>433</v>
      </c>
      <c r="N339" s="144">
        <v>1</v>
      </c>
      <c r="O339" s="147">
        <f t="shared" si="8"/>
        <v>115</v>
      </c>
      <c r="P339" s="177">
        <v>42905</v>
      </c>
      <c r="Q339" s="140" t="s">
        <v>624</v>
      </c>
      <c r="R339" s="134">
        <v>339030</v>
      </c>
      <c r="S339" s="134">
        <v>35</v>
      </c>
      <c r="T339" s="134" t="s">
        <v>601</v>
      </c>
      <c r="U339" s="141"/>
    </row>
    <row r="340" spans="1:21" ht="55.5" customHeight="1" x14ac:dyDescent="0.25">
      <c r="A340" s="134" t="s">
        <v>206</v>
      </c>
      <c r="B340" s="142" t="s">
        <v>417</v>
      </c>
      <c r="C340" s="134" t="s">
        <v>418</v>
      </c>
      <c r="D340" s="143">
        <v>270400</v>
      </c>
      <c r="E340" s="142" t="s">
        <v>388</v>
      </c>
      <c r="F340" s="144">
        <v>27</v>
      </c>
      <c r="G340" s="153" t="s">
        <v>568</v>
      </c>
      <c r="H340" s="145"/>
      <c r="I340" s="144">
        <v>1</v>
      </c>
      <c r="J340" s="146"/>
      <c r="K340" s="147">
        <f>VLOOKUP(F340,plan3!A:H,8,FALSE)</f>
        <v>118</v>
      </c>
      <c r="L340" s="146">
        <v>42835</v>
      </c>
      <c r="M340" s="144" t="s">
        <v>433</v>
      </c>
      <c r="N340" s="144">
        <v>1</v>
      </c>
      <c r="O340" s="147">
        <f t="shared" si="8"/>
        <v>118</v>
      </c>
      <c r="P340" s="167">
        <v>42905</v>
      </c>
      <c r="Q340" s="140" t="s">
        <v>624</v>
      </c>
      <c r="R340" s="134">
        <v>339030</v>
      </c>
      <c r="S340" s="134">
        <v>35</v>
      </c>
      <c r="T340" s="134" t="s">
        <v>601</v>
      </c>
      <c r="U340" s="141"/>
    </row>
    <row r="341" spans="1:21" ht="55.5" customHeight="1" x14ac:dyDescent="0.25">
      <c r="A341" s="134" t="s">
        <v>206</v>
      </c>
      <c r="B341" s="142" t="s">
        <v>417</v>
      </c>
      <c r="C341" s="134" t="s">
        <v>418</v>
      </c>
      <c r="D341" s="143">
        <v>270400</v>
      </c>
      <c r="E341" s="142" t="s">
        <v>388</v>
      </c>
      <c r="F341" s="144">
        <v>29</v>
      </c>
      <c r="G341" s="153" t="s">
        <v>564</v>
      </c>
      <c r="H341" s="145"/>
      <c r="I341" s="144">
        <v>1</v>
      </c>
      <c r="J341" s="146"/>
      <c r="K341" s="147">
        <f>VLOOKUP(F341,plan3!A:H,8,FALSE)</f>
        <v>110.41</v>
      </c>
      <c r="L341" s="146">
        <v>42835</v>
      </c>
      <c r="M341" s="144" t="s">
        <v>433</v>
      </c>
      <c r="N341" s="144">
        <v>1</v>
      </c>
      <c r="O341" s="147">
        <f t="shared" si="8"/>
        <v>110.41</v>
      </c>
      <c r="P341" s="171">
        <v>42905</v>
      </c>
      <c r="Q341" s="172" t="s">
        <v>624</v>
      </c>
      <c r="R341" s="134">
        <v>339030</v>
      </c>
      <c r="S341" s="134">
        <v>35</v>
      </c>
      <c r="T341" s="134" t="s">
        <v>601</v>
      </c>
      <c r="U341" s="141"/>
    </row>
    <row r="342" spans="1:21" ht="55.5" customHeight="1" x14ac:dyDescent="0.25">
      <c r="A342" s="134" t="s">
        <v>206</v>
      </c>
      <c r="B342" s="142" t="s">
        <v>417</v>
      </c>
      <c r="C342" s="134" t="s">
        <v>418</v>
      </c>
      <c r="D342" s="143">
        <v>270400</v>
      </c>
      <c r="E342" s="142" t="s">
        <v>388</v>
      </c>
      <c r="F342" s="144">
        <v>43</v>
      </c>
      <c r="G342" s="153" t="s">
        <v>541</v>
      </c>
      <c r="H342" s="145"/>
      <c r="I342" s="144">
        <v>50</v>
      </c>
      <c r="J342" s="146"/>
      <c r="K342" s="147">
        <f>VLOOKUP(F342,plan3!A:H,8,FALSE)</f>
        <v>1.82</v>
      </c>
      <c r="L342" s="146">
        <v>42835</v>
      </c>
      <c r="M342" s="144" t="s">
        <v>436</v>
      </c>
      <c r="N342" s="144">
        <v>50</v>
      </c>
      <c r="O342" s="147">
        <f t="shared" si="8"/>
        <v>91</v>
      </c>
      <c r="P342" s="169">
        <v>42898</v>
      </c>
      <c r="Q342" s="186" t="s">
        <v>620</v>
      </c>
      <c r="R342" s="134">
        <v>339030</v>
      </c>
      <c r="S342" s="134">
        <v>35</v>
      </c>
      <c r="T342" s="134" t="s">
        <v>601</v>
      </c>
      <c r="U342" s="141"/>
    </row>
    <row r="343" spans="1:21" ht="55.5" customHeight="1" x14ac:dyDescent="0.25">
      <c r="A343" s="134" t="s">
        <v>206</v>
      </c>
      <c r="B343" s="142" t="s">
        <v>417</v>
      </c>
      <c r="C343" s="134" t="s">
        <v>418</v>
      </c>
      <c r="D343" s="143">
        <v>270400</v>
      </c>
      <c r="E343" s="142" t="s">
        <v>388</v>
      </c>
      <c r="F343" s="144">
        <v>47</v>
      </c>
      <c r="G343" s="153" t="s">
        <v>542</v>
      </c>
      <c r="H343" s="145"/>
      <c r="I343" s="144">
        <v>30</v>
      </c>
      <c r="J343" s="146"/>
      <c r="K343" s="147">
        <f>VLOOKUP(F343,plan3!A:H,8,FALSE)</f>
        <v>3.95</v>
      </c>
      <c r="L343" s="146">
        <v>42835</v>
      </c>
      <c r="M343" s="144" t="s">
        <v>436</v>
      </c>
      <c r="N343" s="144">
        <v>30</v>
      </c>
      <c r="O343" s="147">
        <f t="shared" si="8"/>
        <v>118.5</v>
      </c>
      <c r="P343" s="169">
        <v>42898</v>
      </c>
      <c r="Q343" s="186" t="s">
        <v>620</v>
      </c>
      <c r="R343" s="134">
        <v>339030</v>
      </c>
      <c r="S343" s="134">
        <v>35</v>
      </c>
      <c r="T343" s="134" t="s">
        <v>601</v>
      </c>
      <c r="U343" s="141"/>
    </row>
    <row r="344" spans="1:21" ht="48.75" customHeight="1" x14ac:dyDescent="0.25">
      <c r="A344" s="134" t="s">
        <v>206</v>
      </c>
      <c r="B344" s="142" t="s">
        <v>417</v>
      </c>
      <c r="C344" s="134" t="s">
        <v>418</v>
      </c>
      <c r="D344" s="143">
        <v>270400</v>
      </c>
      <c r="E344" s="142" t="s">
        <v>388</v>
      </c>
      <c r="F344" s="144">
        <v>46</v>
      </c>
      <c r="G344" s="153" t="s">
        <v>543</v>
      </c>
      <c r="H344" s="145"/>
      <c r="I344" s="144">
        <v>100</v>
      </c>
      <c r="J344" s="146"/>
      <c r="K344" s="147">
        <f>VLOOKUP(F344,plan3!A:H,8,FALSE)</f>
        <v>1.67</v>
      </c>
      <c r="L344" s="146">
        <v>42835</v>
      </c>
      <c r="M344" s="144" t="s">
        <v>436</v>
      </c>
      <c r="N344" s="144">
        <v>65</v>
      </c>
      <c r="O344" s="147">
        <f t="shared" si="8"/>
        <v>108.55</v>
      </c>
      <c r="P344" s="169">
        <v>42898</v>
      </c>
      <c r="Q344" s="186" t="s">
        <v>620</v>
      </c>
      <c r="R344" s="134">
        <v>339030</v>
      </c>
      <c r="S344" s="134">
        <v>35</v>
      </c>
      <c r="T344" s="134" t="s">
        <v>609</v>
      </c>
      <c r="U344" s="141"/>
    </row>
    <row r="345" spans="1:21" ht="55.5" customHeight="1" x14ac:dyDescent="0.25">
      <c r="A345" s="134" t="s">
        <v>206</v>
      </c>
      <c r="B345" s="142" t="s">
        <v>417</v>
      </c>
      <c r="C345" s="134" t="s">
        <v>418</v>
      </c>
      <c r="D345" s="143">
        <v>270400</v>
      </c>
      <c r="E345" s="142" t="s">
        <v>388</v>
      </c>
      <c r="F345" s="144">
        <v>48</v>
      </c>
      <c r="G345" s="153" t="s">
        <v>544</v>
      </c>
      <c r="H345" s="145"/>
      <c r="I345" s="144">
        <v>100</v>
      </c>
      <c r="J345" s="146"/>
      <c r="K345" s="147">
        <f>VLOOKUP(F345,plan3!A:H,8,FALSE)</f>
        <v>2.29</v>
      </c>
      <c r="L345" s="146">
        <v>42835</v>
      </c>
      <c r="M345" s="144" t="s">
        <v>436</v>
      </c>
      <c r="N345" s="144">
        <v>100</v>
      </c>
      <c r="O345" s="147">
        <f t="shared" si="8"/>
        <v>229</v>
      </c>
      <c r="P345" s="190">
        <v>42898</v>
      </c>
      <c r="Q345" s="186" t="s">
        <v>620</v>
      </c>
      <c r="R345" s="134">
        <v>339030</v>
      </c>
      <c r="S345" s="134">
        <v>35</v>
      </c>
      <c r="T345" s="134" t="s">
        <v>601</v>
      </c>
      <c r="U345" s="141"/>
    </row>
    <row r="346" spans="1:21" ht="55.5" customHeight="1" x14ac:dyDescent="0.25">
      <c r="A346" s="134" t="s">
        <v>206</v>
      </c>
      <c r="B346" s="142" t="s">
        <v>417</v>
      </c>
      <c r="C346" s="134" t="s">
        <v>418</v>
      </c>
      <c r="D346" s="143">
        <v>270400</v>
      </c>
      <c r="E346" s="142" t="s">
        <v>388</v>
      </c>
      <c r="F346" s="144">
        <v>60</v>
      </c>
      <c r="G346" s="153" t="s">
        <v>569</v>
      </c>
      <c r="H346" s="145"/>
      <c r="I346" s="144">
        <v>20</v>
      </c>
      <c r="J346" s="146"/>
      <c r="K346" s="147">
        <f>VLOOKUP(F346,plan3!A:H,8,FALSE)</f>
        <v>33.4</v>
      </c>
      <c r="L346" s="146">
        <v>42835</v>
      </c>
      <c r="M346" s="144" t="s">
        <v>437</v>
      </c>
      <c r="N346" s="144">
        <v>20</v>
      </c>
      <c r="O346" s="147">
        <f t="shared" si="8"/>
        <v>668</v>
      </c>
      <c r="P346" s="167">
        <v>42892</v>
      </c>
      <c r="Q346" s="144" t="s">
        <v>621</v>
      </c>
      <c r="R346" s="134">
        <v>339030</v>
      </c>
      <c r="S346" s="134">
        <v>35</v>
      </c>
      <c r="T346" s="134" t="s">
        <v>601</v>
      </c>
      <c r="U346" s="141"/>
    </row>
    <row r="347" spans="1:21" ht="55.5" customHeight="1" x14ac:dyDescent="0.25">
      <c r="A347" s="134" t="s">
        <v>206</v>
      </c>
      <c r="B347" s="142" t="s">
        <v>417</v>
      </c>
      <c r="C347" s="134" t="s">
        <v>418</v>
      </c>
      <c r="D347" s="143">
        <v>270400</v>
      </c>
      <c r="E347" s="142" t="s">
        <v>388</v>
      </c>
      <c r="F347" s="144">
        <v>65</v>
      </c>
      <c r="G347" s="153" t="s">
        <v>545</v>
      </c>
      <c r="H347" s="145"/>
      <c r="I347" s="144">
        <v>50</v>
      </c>
      <c r="J347" s="146"/>
      <c r="K347" s="147">
        <f>VLOOKUP(F347,plan3!A:H,8,FALSE)</f>
        <v>4.17</v>
      </c>
      <c r="L347" s="146">
        <v>42835</v>
      </c>
      <c r="M347" s="144" t="s">
        <v>437</v>
      </c>
      <c r="N347" s="144">
        <v>30</v>
      </c>
      <c r="O347" s="147">
        <f t="shared" si="8"/>
        <v>125.1</v>
      </c>
      <c r="P347" s="167">
        <v>42892</v>
      </c>
      <c r="Q347" s="144" t="s">
        <v>621</v>
      </c>
      <c r="R347" s="134">
        <v>339030</v>
      </c>
      <c r="S347" s="134">
        <v>35</v>
      </c>
      <c r="T347" s="134" t="s">
        <v>627</v>
      </c>
      <c r="U347" s="141"/>
    </row>
    <row r="348" spans="1:21" ht="55.5" customHeight="1" x14ac:dyDescent="0.25">
      <c r="A348" s="134" t="s">
        <v>206</v>
      </c>
      <c r="B348" s="142" t="s">
        <v>417</v>
      </c>
      <c r="C348" s="134" t="s">
        <v>418</v>
      </c>
      <c r="D348" s="143">
        <v>270400</v>
      </c>
      <c r="E348" s="142" t="s">
        <v>388</v>
      </c>
      <c r="F348" s="144">
        <v>67</v>
      </c>
      <c r="G348" s="153" t="s">
        <v>551</v>
      </c>
      <c r="H348" s="145"/>
      <c r="I348" s="144">
        <v>50</v>
      </c>
      <c r="J348" s="146"/>
      <c r="K348" s="147">
        <f>VLOOKUP(F348,plan3!A:H,8,FALSE)</f>
        <v>4.41</v>
      </c>
      <c r="L348" s="146">
        <v>42835</v>
      </c>
      <c r="M348" s="144" t="s">
        <v>437</v>
      </c>
      <c r="N348" s="144">
        <v>50</v>
      </c>
      <c r="O348" s="147">
        <f t="shared" si="8"/>
        <v>220.5</v>
      </c>
      <c r="P348" s="167">
        <v>42892</v>
      </c>
      <c r="Q348" s="144" t="s">
        <v>621</v>
      </c>
      <c r="R348" s="134">
        <v>339030</v>
      </c>
      <c r="S348" s="134">
        <v>35</v>
      </c>
      <c r="T348" s="134" t="s">
        <v>601</v>
      </c>
      <c r="U348" s="141"/>
    </row>
    <row r="349" spans="1:21" ht="55.5" customHeight="1" x14ac:dyDescent="0.25">
      <c r="A349" s="134" t="s">
        <v>206</v>
      </c>
      <c r="B349" s="142" t="s">
        <v>417</v>
      </c>
      <c r="C349" s="134" t="s">
        <v>418</v>
      </c>
      <c r="D349" s="143">
        <v>270400</v>
      </c>
      <c r="E349" s="142" t="s">
        <v>388</v>
      </c>
      <c r="F349" s="144">
        <v>69</v>
      </c>
      <c r="G349" s="153" t="s">
        <v>552</v>
      </c>
      <c r="H349" s="145"/>
      <c r="I349" s="144">
        <v>50</v>
      </c>
      <c r="J349" s="146"/>
      <c r="K349" s="147">
        <f>VLOOKUP(F349,plan3!A:H,8,FALSE)</f>
        <v>4.32</v>
      </c>
      <c r="L349" s="146">
        <v>42835</v>
      </c>
      <c r="M349" s="144" t="s">
        <v>437</v>
      </c>
      <c r="N349" s="144">
        <v>50</v>
      </c>
      <c r="O349" s="147">
        <f t="shared" si="8"/>
        <v>216</v>
      </c>
      <c r="P349" s="167">
        <v>42892</v>
      </c>
      <c r="Q349" s="144" t="s">
        <v>621</v>
      </c>
      <c r="R349" s="134">
        <v>339030</v>
      </c>
      <c r="S349" s="134">
        <v>35</v>
      </c>
      <c r="T349" s="134" t="s">
        <v>601</v>
      </c>
      <c r="U349" s="141"/>
    </row>
    <row r="350" spans="1:21" ht="55.5" customHeight="1" x14ac:dyDescent="0.25">
      <c r="A350" s="134" t="s">
        <v>206</v>
      </c>
      <c r="B350" s="142" t="s">
        <v>417</v>
      </c>
      <c r="C350" s="134" t="s">
        <v>418</v>
      </c>
      <c r="D350" s="143">
        <v>270400</v>
      </c>
      <c r="E350" s="142" t="s">
        <v>388</v>
      </c>
      <c r="F350" s="144">
        <v>169</v>
      </c>
      <c r="G350" s="153" t="s">
        <v>546</v>
      </c>
      <c r="H350" s="145"/>
      <c r="I350" s="144">
        <v>5</v>
      </c>
      <c r="J350" s="146"/>
      <c r="K350" s="147">
        <f>VLOOKUP(F350,plan3!A:H,8,FALSE)</f>
        <v>25</v>
      </c>
      <c r="L350" s="146">
        <v>42835</v>
      </c>
      <c r="M350" s="144" t="s">
        <v>432</v>
      </c>
      <c r="N350" s="144">
        <v>5</v>
      </c>
      <c r="O350" s="147">
        <f t="shared" si="8"/>
        <v>125</v>
      </c>
      <c r="P350" s="171">
        <v>42914</v>
      </c>
      <c r="Q350" s="144" t="s">
        <v>617</v>
      </c>
      <c r="R350" s="134">
        <v>339030</v>
      </c>
      <c r="S350" s="134">
        <v>35</v>
      </c>
      <c r="T350" s="134" t="s">
        <v>601</v>
      </c>
      <c r="U350" s="141"/>
    </row>
    <row r="351" spans="1:21" ht="55.5" customHeight="1" x14ac:dyDescent="0.25">
      <c r="A351" s="134" t="s">
        <v>206</v>
      </c>
      <c r="B351" s="142" t="s">
        <v>417</v>
      </c>
      <c r="C351" s="134" t="s">
        <v>418</v>
      </c>
      <c r="D351" s="143">
        <v>270400</v>
      </c>
      <c r="E351" s="142" t="s">
        <v>388</v>
      </c>
      <c r="F351" s="144">
        <v>121</v>
      </c>
      <c r="G351" s="153" t="s">
        <v>570</v>
      </c>
      <c r="H351" s="145"/>
      <c r="I351" s="144">
        <v>30</v>
      </c>
      <c r="J351" s="146"/>
      <c r="K351" s="147">
        <f>VLOOKUP(F351,plan3!A:H,8,FALSE)</f>
        <v>42.73</v>
      </c>
      <c r="L351" s="146">
        <v>42835</v>
      </c>
      <c r="M351" s="144" t="s">
        <v>437</v>
      </c>
      <c r="N351" s="144">
        <v>30</v>
      </c>
      <c r="O351" s="147">
        <f t="shared" si="8"/>
        <v>1281.8999999999999</v>
      </c>
      <c r="P351" s="167">
        <v>42892</v>
      </c>
      <c r="Q351" s="144" t="s">
        <v>621</v>
      </c>
      <c r="R351" s="134">
        <v>339030</v>
      </c>
      <c r="S351" s="134">
        <v>35</v>
      </c>
      <c r="T351" s="134" t="s">
        <v>601</v>
      </c>
      <c r="U351" s="141"/>
    </row>
    <row r="352" spans="1:21" ht="55.5" customHeight="1" x14ac:dyDescent="0.25">
      <c r="A352" s="134" t="s">
        <v>206</v>
      </c>
      <c r="B352" s="142" t="s">
        <v>417</v>
      </c>
      <c r="C352" s="134" t="s">
        <v>418</v>
      </c>
      <c r="D352" s="143">
        <v>270400</v>
      </c>
      <c r="E352" s="142" t="s">
        <v>388</v>
      </c>
      <c r="F352" s="144">
        <v>122</v>
      </c>
      <c r="G352" s="153" t="s">
        <v>548</v>
      </c>
      <c r="H352" s="145"/>
      <c r="I352" s="144">
        <v>32</v>
      </c>
      <c r="J352" s="146"/>
      <c r="K352" s="147">
        <f>VLOOKUP(F352,plan3!A:H,8,FALSE)</f>
        <v>21.65</v>
      </c>
      <c r="L352" s="146">
        <v>42835</v>
      </c>
      <c r="M352" s="144" t="s">
        <v>437</v>
      </c>
      <c r="N352" s="144">
        <v>32</v>
      </c>
      <c r="O352" s="147">
        <f t="shared" si="8"/>
        <v>692.8</v>
      </c>
      <c r="P352" s="167">
        <v>42892</v>
      </c>
      <c r="Q352" s="144" t="s">
        <v>621</v>
      </c>
      <c r="R352" s="134">
        <v>339030</v>
      </c>
      <c r="S352" s="134">
        <v>35</v>
      </c>
      <c r="T352" s="134" t="s">
        <v>601</v>
      </c>
      <c r="U352" s="141"/>
    </row>
    <row r="353" spans="1:21" ht="55.5" customHeight="1" x14ac:dyDescent="0.25">
      <c r="A353" s="134" t="s">
        <v>206</v>
      </c>
      <c r="B353" s="142" t="s">
        <v>417</v>
      </c>
      <c r="C353" s="134" t="s">
        <v>418</v>
      </c>
      <c r="D353" s="143">
        <v>270400</v>
      </c>
      <c r="E353" s="142" t="s">
        <v>388</v>
      </c>
      <c r="F353" s="144">
        <v>128</v>
      </c>
      <c r="G353" s="153" t="s">
        <v>549</v>
      </c>
      <c r="H353" s="145"/>
      <c r="I353" s="144">
        <v>15</v>
      </c>
      <c r="J353" s="146"/>
      <c r="K353" s="147">
        <f>VLOOKUP(F353,plan3!A:H,8,FALSE)</f>
        <v>34.19</v>
      </c>
      <c r="L353" s="146">
        <v>42835</v>
      </c>
      <c r="M353" s="144" t="s">
        <v>429</v>
      </c>
      <c r="N353" s="144">
        <v>15</v>
      </c>
      <c r="O353" s="147">
        <f t="shared" si="8"/>
        <v>512.84999999999991</v>
      </c>
      <c r="P353" s="167">
        <v>42898</v>
      </c>
      <c r="Q353" s="144" t="s">
        <v>616</v>
      </c>
      <c r="R353" s="134">
        <v>339030</v>
      </c>
      <c r="S353" s="134">
        <v>35</v>
      </c>
      <c r="T353" s="134" t="s">
        <v>601</v>
      </c>
      <c r="U353" s="141"/>
    </row>
    <row r="354" spans="1:21" ht="55.5" customHeight="1" x14ac:dyDescent="0.25">
      <c r="A354" s="134" t="s">
        <v>206</v>
      </c>
      <c r="B354" s="142" t="s">
        <v>417</v>
      </c>
      <c r="C354" s="134" t="s">
        <v>418</v>
      </c>
      <c r="D354" s="143">
        <v>270400</v>
      </c>
      <c r="E354" s="142" t="s">
        <v>388</v>
      </c>
      <c r="F354" s="144">
        <v>146</v>
      </c>
      <c r="G354" s="153" t="s">
        <v>559</v>
      </c>
      <c r="H354" s="145"/>
      <c r="I354" s="144">
        <v>1</v>
      </c>
      <c r="J354" s="146"/>
      <c r="K354" s="147">
        <f>VLOOKUP(F354,plan3!A:H,8,FALSE)</f>
        <v>69.14</v>
      </c>
      <c r="L354" s="146">
        <v>42835</v>
      </c>
      <c r="M354" s="144" t="s">
        <v>431</v>
      </c>
      <c r="N354" s="144">
        <v>1</v>
      </c>
      <c r="O354" s="147">
        <f t="shared" si="8"/>
        <v>69.14</v>
      </c>
      <c r="P354" s="190">
        <v>43031</v>
      </c>
      <c r="Q354" s="186" t="s">
        <v>623</v>
      </c>
      <c r="R354" s="134">
        <v>339030</v>
      </c>
      <c r="S354" s="134">
        <v>35</v>
      </c>
      <c r="T354" s="134" t="s">
        <v>601</v>
      </c>
      <c r="U354" s="141"/>
    </row>
    <row r="355" spans="1:21" ht="55.5" customHeight="1" x14ac:dyDescent="0.25">
      <c r="A355" s="134" t="s">
        <v>206</v>
      </c>
      <c r="B355" s="142" t="s">
        <v>417</v>
      </c>
      <c r="C355" s="134" t="s">
        <v>418</v>
      </c>
      <c r="D355" s="143">
        <v>270400</v>
      </c>
      <c r="E355" s="142" t="s">
        <v>388</v>
      </c>
      <c r="F355" s="144">
        <v>151</v>
      </c>
      <c r="G355" s="153" t="s">
        <v>554</v>
      </c>
      <c r="H355" s="145"/>
      <c r="I355" s="144">
        <v>10</v>
      </c>
      <c r="J355" s="146"/>
      <c r="K355" s="147">
        <f>VLOOKUP(F355,plan3!A:H,8,FALSE)</f>
        <v>3.99</v>
      </c>
      <c r="L355" s="146">
        <v>42835</v>
      </c>
      <c r="M355" s="144" t="s">
        <v>437</v>
      </c>
      <c r="N355" s="144">
        <v>10</v>
      </c>
      <c r="O355" s="147">
        <f t="shared" si="8"/>
        <v>39.900000000000006</v>
      </c>
      <c r="P355" s="167">
        <v>42892</v>
      </c>
      <c r="Q355" s="144" t="s">
        <v>621</v>
      </c>
      <c r="R355" s="134">
        <v>339030</v>
      </c>
      <c r="S355" s="134">
        <v>35</v>
      </c>
      <c r="T355" s="134" t="s">
        <v>601</v>
      </c>
      <c r="U355" s="141"/>
    </row>
    <row r="356" spans="1:21" ht="55.5" customHeight="1" x14ac:dyDescent="0.25">
      <c r="A356" s="134" t="s">
        <v>206</v>
      </c>
      <c r="B356" s="142" t="s">
        <v>417</v>
      </c>
      <c r="C356" s="134" t="s">
        <v>418</v>
      </c>
      <c r="D356" s="143">
        <v>270400</v>
      </c>
      <c r="E356" s="142" t="s">
        <v>388</v>
      </c>
      <c r="F356" s="144">
        <v>150</v>
      </c>
      <c r="G356" s="153" t="s">
        <v>557</v>
      </c>
      <c r="H356" s="145"/>
      <c r="I356" s="144">
        <v>20</v>
      </c>
      <c r="J356" s="146"/>
      <c r="K356" s="147">
        <f>VLOOKUP(F356,plan3!A:H,8,FALSE)</f>
        <v>6.5</v>
      </c>
      <c r="L356" s="146">
        <v>42835</v>
      </c>
      <c r="M356" s="144" t="s">
        <v>437</v>
      </c>
      <c r="N356" s="144">
        <v>20</v>
      </c>
      <c r="O356" s="147">
        <f t="shared" si="8"/>
        <v>130</v>
      </c>
      <c r="P356" s="167">
        <v>42892</v>
      </c>
      <c r="Q356" s="144" t="s">
        <v>621</v>
      </c>
      <c r="R356" s="134">
        <v>339030</v>
      </c>
      <c r="S356" s="134">
        <v>35</v>
      </c>
      <c r="T356" s="134" t="s">
        <v>601</v>
      </c>
      <c r="U356" s="141"/>
    </row>
    <row r="357" spans="1:21" ht="55.5" customHeight="1" x14ac:dyDescent="0.25">
      <c r="A357" s="134" t="s">
        <v>206</v>
      </c>
      <c r="B357" s="142" t="s">
        <v>417</v>
      </c>
      <c r="C357" s="134" t="s">
        <v>418</v>
      </c>
      <c r="D357" s="143">
        <v>280200</v>
      </c>
      <c r="E357" s="142" t="s">
        <v>421</v>
      </c>
      <c r="F357" s="144">
        <v>5</v>
      </c>
      <c r="G357" s="153" t="s">
        <v>560</v>
      </c>
      <c r="H357" s="145"/>
      <c r="I357" s="144">
        <v>20</v>
      </c>
      <c r="J357" s="146"/>
      <c r="K357" s="147">
        <f>VLOOKUP(F357,plan3!A:H,8,FALSE)</f>
        <v>3.2</v>
      </c>
      <c r="L357" s="146">
        <v>42835</v>
      </c>
      <c r="M357" s="144" t="s">
        <v>434</v>
      </c>
      <c r="N357" s="144">
        <v>20</v>
      </c>
      <c r="O357" s="147">
        <f t="shared" si="8"/>
        <v>64</v>
      </c>
      <c r="P357" s="139" t="s">
        <v>625</v>
      </c>
      <c r="Q357" s="140"/>
      <c r="R357" s="134">
        <v>339030</v>
      </c>
      <c r="S357" s="134">
        <v>35</v>
      </c>
      <c r="T357" s="134" t="s">
        <v>646</v>
      </c>
      <c r="U357" s="141"/>
    </row>
    <row r="358" spans="1:21" ht="55.5" customHeight="1" x14ac:dyDescent="0.25">
      <c r="A358" s="134" t="s">
        <v>206</v>
      </c>
      <c r="B358" s="142" t="s">
        <v>417</v>
      </c>
      <c r="C358" s="134" t="s">
        <v>418</v>
      </c>
      <c r="D358" s="143">
        <v>280200</v>
      </c>
      <c r="E358" s="142" t="s">
        <v>421</v>
      </c>
      <c r="F358" s="144">
        <v>169</v>
      </c>
      <c r="G358" s="153" t="s">
        <v>546</v>
      </c>
      <c r="H358" s="145"/>
      <c r="I358" s="144">
        <v>2</v>
      </c>
      <c r="J358" s="146"/>
      <c r="K358" s="147">
        <f>VLOOKUP(F358,plan3!A:H,8,FALSE)</f>
        <v>25</v>
      </c>
      <c r="L358" s="146">
        <v>42835</v>
      </c>
      <c r="M358" s="144" t="s">
        <v>432</v>
      </c>
      <c r="N358" s="144">
        <v>2</v>
      </c>
      <c r="O358" s="147">
        <f t="shared" si="8"/>
        <v>50</v>
      </c>
      <c r="P358" s="167">
        <v>42914</v>
      </c>
      <c r="Q358" s="144" t="s">
        <v>617</v>
      </c>
      <c r="R358" s="134">
        <v>339030</v>
      </c>
      <c r="S358" s="134">
        <v>35</v>
      </c>
      <c r="T358" s="134" t="s">
        <v>601</v>
      </c>
      <c r="U358" s="141"/>
    </row>
    <row r="359" spans="1:21" ht="55.5" customHeight="1" x14ac:dyDescent="0.25">
      <c r="A359" s="134" t="s">
        <v>206</v>
      </c>
      <c r="B359" s="142" t="s">
        <v>417</v>
      </c>
      <c r="C359" s="134" t="s">
        <v>418</v>
      </c>
      <c r="D359" s="143">
        <v>280400</v>
      </c>
      <c r="E359" s="142" t="s">
        <v>389</v>
      </c>
      <c r="F359" s="144">
        <v>170</v>
      </c>
      <c r="G359" s="153" t="s">
        <v>561</v>
      </c>
      <c r="H359" s="145"/>
      <c r="I359" s="144">
        <v>2</v>
      </c>
      <c r="J359" s="146"/>
      <c r="K359" s="147">
        <f>VLOOKUP(F359,plan3!A:H,8,FALSE)</f>
        <v>0.5</v>
      </c>
      <c r="L359" s="146">
        <v>42835</v>
      </c>
      <c r="M359" s="144" t="s">
        <v>431</v>
      </c>
      <c r="N359" s="144">
        <v>2</v>
      </c>
      <c r="O359" s="147">
        <f t="shared" si="8"/>
        <v>1</v>
      </c>
      <c r="P359" s="189">
        <v>43031</v>
      </c>
      <c r="Q359" s="186" t="s">
        <v>623</v>
      </c>
      <c r="R359" s="134">
        <v>339030</v>
      </c>
      <c r="S359" s="134">
        <v>35</v>
      </c>
      <c r="T359" s="134" t="s">
        <v>601</v>
      </c>
      <c r="U359" s="141"/>
    </row>
    <row r="360" spans="1:21" ht="34.5" customHeight="1" x14ac:dyDescent="0.25">
      <c r="A360" s="134" t="s">
        <v>206</v>
      </c>
      <c r="B360" s="142" t="s">
        <v>417</v>
      </c>
      <c r="C360" s="134" t="s">
        <v>418</v>
      </c>
      <c r="D360" s="143">
        <v>280400</v>
      </c>
      <c r="E360" s="142" t="s">
        <v>389</v>
      </c>
      <c r="F360" s="144">
        <v>146</v>
      </c>
      <c r="G360" s="153" t="s">
        <v>559</v>
      </c>
      <c r="H360" s="145"/>
      <c r="I360" s="144">
        <v>6</v>
      </c>
      <c r="J360" s="146"/>
      <c r="K360" s="147">
        <f>VLOOKUP(F360,plan3!A:H,8,FALSE)</f>
        <v>69.14</v>
      </c>
      <c r="L360" s="146">
        <v>42835</v>
      </c>
      <c r="M360" s="144" t="s">
        <v>431</v>
      </c>
      <c r="N360" s="144">
        <v>6</v>
      </c>
      <c r="O360" s="147">
        <f t="shared" si="8"/>
        <v>414.84000000000003</v>
      </c>
      <c r="P360" s="169">
        <v>43031</v>
      </c>
      <c r="Q360" s="186" t="s">
        <v>623</v>
      </c>
      <c r="R360" s="134">
        <v>339030</v>
      </c>
      <c r="S360" s="134">
        <v>35</v>
      </c>
      <c r="T360" s="134" t="s">
        <v>601</v>
      </c>
      <c r="U360" s="141"/>
    </row>
    <row r="361" spans="1:21" ht="34.5" customHeight="1" x14ac:dyDescent="0.25">
      <c r="A361" s="134" t="s">
        <v>206</v>
      </c>
      <c r="B361" s="142" t="s">
        <v>417</v>
      </c>
      <c r="C361" s="134" t="s">
        <v>418</v>
      </c>
      <c r="D361" s="143">
        <v>290000</v>
      </c>
      <c r="E361" s="142" t="s">
        <v>203</v>
      </c>
      <c r="F361" s="149">
        <v>127</v>
      </c>
      <c r="G361" s="153" t="s">
        <v>571</v>
      </c>
      <c r="H361" s="145"/>
      <c r="I361" s="149">
        <v>2</v>
      </c>
      <c r="J361" s="146"/>
      <c r="K361" s="147">
        <f>VLOOKUP(F361,plan3!A:H,8,FALSE)</f>
        <v>170</v>
      </c>
      <c r="L361" s="146">
        <v>42835</v>
      </c>
      <c r="M361" s="144" t="s">
        <v>429</v>
      </c>
      <c r="N361" s="144">
        <v>2</v>
      </c>
      <c r="O361" s="147">
        <f t="shared" si="8"/>
        <v>340</v>
      </c>
      <c r="P361" s="167">
        <v>42898</v>
      </c>
      <c r="Q361" s="144" t="s">
        <v>616</v>
      </c>
      <c r="R361" s="134">
        <v>339030</v>
      </c>
      <c r="S361" s="134">
        <v>35</v>
      </c>
      <c r="T361" s="134" t="s">
        <v>601</v>
      </c>
      <c r="U361" s="141"/>
    </row>
    <row r="362" spans="1:21" ht="34.5" customHeight="1" x14ac:dyDescent="0.25">
      <c r="A362" s="134" t="s">
        <v>206</v>
      </c>
      <c r="B362" s="142" t="s">
        <v>417</v>
      </c>
      <c r="C362" s="134" t="s">
        <v>418</v>
      </c>
      <c r="D362" s="143">
        <v>290000</v>
      </c>
      <c r="E362" s="142" t="s">
        <v>203</v>
      </c>
      <c r="F362" s="144">
        <v>128</v>
      </c>
      <c r="G362" s="153" t="s">
        <v>549</v>
      </c>
      <c r="H362" s="145"/>
      <c r="I362" s="144">
        <v>3</v>
      </c>
      <c r="J362" s="146"/>
      <c r="K362" s="147">
        <f>VLOOKUP(F362,plan3!A:H,8,FALSE)</f>
        <v>34.19</v>
      </c>
      <c r="L362" s="146" t="s">
        <v>430</v>
      </c>
      <c r="M362" s="144" t="s">
        <v>429</v>
      </c>
      <c r="N362" s="144">
        <v>3</v>
      </c>
      <c r="O362" s="147">
        <f t="shared" si="8"/>
        <v>102.57</v>
      </c>
      <c r="P362" s="171">
        <v>42898</v>
      </c>
      <c r="Q362" s="144" t="s">
        <v>616</v>
      </c>
      <c r="R362" s="134">
        <v>339030</v>
      </c>
      <c r="S362" s="134">
        <v>35</v>
      </c>
      <c r="T362" s="134" t="s">
        <v>601</v>
      </c>
      <c r="U362" s="141"/>
    </row>
    <row r="363" spans="1:21" ht="34.5" customHeight="1" x14ac:dyDescent="0.25">
      <c r="A363" s="134" t="s">
        <v>206</v>
      </c>
      <c r="B363" s="142" t="s">
        <v>417</v>
      </c>
      <c r="C363" s="134" t="s">
        <v>418</v>
      </c>
      <c r="D363" s="143">
        <v>600000</v>
      </c>
      <c r="E363" s="142" t="s">
        <v>391</v>
      </c>
      <c r="F363" s="144">
        <v>164</v>
      </c>
      <c r="G363" s="153" t="s">
        <v>538</v>
      </c>
      <c r="H363" s="145"/>
      <c r="I363" s="144">
        <v>50</v>
      </c>
      <c r="J363" s="146"/>
      <c r="K363" s="147">
        <f>VLOOKUP(F363,plan3!A:H,8,FALSE)</f>
        <v>0.28000000000000003</v>
      </c>
      <c r="L363" s="146">
        <v>42835</v>
      </c>
      <c r="M363" s="144" t="s">
        <v>435</v>
      </c>
      <c r="N363" s="144">
        <v>50</v>
      </c>
      <c r="O363" s="147">
        <f t="shared" si="8"/>
        <v>14.000000000000002</v>
      </c>
      <c r="P363" s="167">
        <v>42895</v>
      </c>
      <c r="Q363" s="184" t="s">
        <v>626</v>
      </c>
      <c r="R363" s="134">
        <v>339030</v>
      </c>
      <c r="S363" s="134">
        <v>35</v>
      </c>
      <c r="T363" s="134" t="s">
        <v>601</v>
      </c>
      <c r="U363" s="141"/>
    </row>
    <row r="364" spans="1:21" s="74" customFormat="1" ht="60" x14ac:dyDescent="0.25">
      <c r="A364" s="134" t="s">
        <v>206</v>
      </c>
      <c r="B364" s="144" t="s">
        <v>417</v>
      </c>
      <c r="C364" s="134" t="s">
        <v>572</v>
      </c>
      <c r="D364" s="143">
        <v>180000</v>
      </c>
      <c r="E364" s="144" t="s">
        <v>18</v>
      </c>
      <c r="F364" s="144">
        <v>155</v>
      </c>
      <c r="G364" s="134" t="str">
        <f>VLOOKUP(F364,plan3!A$1:H$300,3,FALSE)</f>
        <v>CAIXA DE FIBRA DE PAPELÃO COM TAMPA F GRADE DIVISÓRIA PARA ARMAZENAMENTO DE MICROTUBOS (TIPO EPPENDORF) E TUBO CRIOGÊNICO P/ 100 TUBOS CAP 1.5 / 2.0ML</v>
      </c>
      <c r="H364" s="134">
        <v>418</v>
      </c>
      <c r="I364" s="144">
        <v>5</v>
      </c>
      <c r="J364" s="146">
        <v>42894</v>
      </c>
      <c r="K364" s="147">
        <f>VLOOKUP(F364,plan3!A$1:H$300,8,FALSE)</f>
        <v>4.93</v>
      </c>
      <c r="L364" s="146">
        <v>42577</v>
      </c>
      <c r="M364" s="144" t="s">
        <v>588</v>
      </c>
      <c r="N364" s="144">
        <v>5</v>
      </c>
      <c r="O364" s="147">
        <f t="shared" si="8"/>
        <v>24.65</v>
      </c>
      <c r="P364" s="167">
        <v>42940</v>
      </c>
      <c r="Q364" s="144" t="s">
        <v>637</v>
      </c>
      <c r="R364" s="144"/>
      <c r="S364" s="144"/>
      <c r="T364" s="134" t="s">
        <v>601</v>
      </c>
      <c r="U364" s="151"/>
    </row>
    <row r="365" spans="1:21" s="74" customFormat="1" ht="30" x14ac:dyDescent="0.25">
      <c r="A365" s="144" t="s">
        <v>206</v>
      </c>
      <c r="B365" s="144" t="s">
        <v>417</v>
      </c>
      <c r="C365" s="144" t="s">
        <v>572</v>
      </c>
      <c r="D365" s="143">
        <v>180000</v>
      </c>
      <c r="E365" s="144" t="s">
        <v>18</v>
      </c>
      <c r="F365" s="144">
        <v>161</v>
      </c>
      <c r="G365" s="134" t="str">
        <f>VLOOKUP(F365,plan3!A$1:H$300,3,FALSE)</f>
        <v>FRASCO REAGENTE EM VIDRO CAPACIDADE 1000ML COM TAMPA</v>
      </c>
      <c r="H365" s="134">
        <v>418</v>
      </c>
      <c r="I365" s="144">
        <v>10</v>
      </c>
      <c r="J365" s="146">
        <v>42894</v>
      </c>
      <c r="K365" s="147">
        <f>VLOOKUP(F365,plan3!A$1:H$300,8,FALSE)</f>
        <v>15</v>
      </c>
      <c r="L365" s="146">
        <v>42577</v>
      </c>
      <c r="M365" s="144" t="s">
        <v>582</v>
      </c>
      <c r="N365" s="144">
        <v>10</v>
      </c>
      <c r="O365" s="147">
        <f t="shared" ref="O365:O370" si="9">K365*N365</f>
        <v>150</v>
      </c>
      <c r="P365" s="167">
        <v>42933</v>
      </c>
      <c r="Q365" s="144" t="s">
        <v>631</v>
      </c>
      <c r="R365" s="144"/>
      <c r="S365" s="144"/>
      <c r="T365" s="134" t="s">
        <v>601</v>
      </c>
      <c r="U365" s="151"/>
    </row>
    <row r="366" spans="1:21" s="74" customFormat="1" ht="30" x14ac:dyDescent="0.25">
      <c r="A366" s="134" t="s">
        <v>206</v>
      </c>
      <c r="B366" s="144" t="s">
        <v>417</v>
      </c>
      <c r="C366" s="134" t="s">
        <v>572</v>
      </c>
      <c r="D366" s="143">
        <v>180000</v>
      </c>
      <c r="E366" s="144" t="s">
        <v>18</v>
      </c>
      <c r="F366" s="144">
        <v>162</v>
      </c>
      <c r="G366" s="134" t="str">
        <f>VLOOKUP(F366,plan3!A$1:H$300,3,FALSE)</f>
        <v>FRASCO REAGENTE EM VIDRO CAPACIDADE 125ML COM TAMPA</v>
      </c>
      <c r="H366" s="134">
        <v>418</v>
      </c>
      <c r="I366" s="144">
        <v>5</v>
      </c>
      <c r="J366" s="146">
        <v>42894</v>
      </c>
      <c r="K366" s="147">
        <f>VLOOKUP(F366,plan3!A$1:H$300,8,FALSE)</f>
        <v>12</v>
      </c>
      <c r="L366" s="146">
        <v>42577</v>
      </c>
      <c r="M366" s="144" t="s">
        <v>582</v>
      </c>
      <c r="N366" s="154">
        <v>5</v>
      </c>
      <c r="O366" s="147">
        <f t="shared" si="9"/>
        <v>60</v>
      </c>
      <c r="P366" s="167">
        <v>42933</v>
      </c>
      <c r="Q366" s="144" t="s">
        <v>631</v>
      </c>
      <c r="R366" s="154"/>
      <c r="S366" s="154"/>
      <c r="T366" s="134" t="s">
        <v>601</v>
      </c>
    </row>
    <row r="367" spans="1:21" s="74" customFormat="1" ht="45" x14ac:dyDescent="0.25">
      <c r="A367" s="144" t="s">
        <v>206</v>
      </c>
      <c r="B367" s="144" t="s">
        <v>417</v>
      </c>
      <c r="C367" s="144" t="s">
        <v>572</v>
      </c>
      <c r="D367" s="143">
        <v>180000</v>
      </c>
      <c r="E367" s="144" t="s">
        <v>18</v>
      </c>
      <c r="F367" s="144">
        <v>4</v>
      </c>
      <c r="G367" s="134" t="str">
        <f>VLOOKUP(F367,plan3!A$1:H$300,3,FALSE)</f>
        <v>LÂMINA LABORATÓRIO, MATERIAL VIDRO, APLICAÇÃO PREPARADA, DIMENSÕES CERCA DE 75X 25 MM, TIPO* CONJUNTO C/ ATÉ 100 PEÇAS, ADICIONAL PARA BOTÂNICA</v>
      </c>
      <c r="H367" s="134">
        <v>418</v>
      </c>
      <c r="I367" s="144">
        <v>1</v>
      </c>
      <c r="J367" s="146">
        <v>42894</v>
      </c>
      <c r="K367" s="147">
        <f>VLOOKUP(F367,plan3!A$1:H$300,8,FALSE)</f>
        <v>689</v>
      </c>
      <c r="L367" s="146">
        <v>42577</v>
      </c>
      <c r="M367" s="144" t="s">
        <v>584</v>
      </c>
      <c r="N367" s="154">
        <v>1</v>
      </c>
      <c r="O367" s="147">
        <f t="shared" si="9"/>
        <v>689</v>
      </c>
      <c r="P367" s="154" t="s">
        <v>633</v>
      </c>
      <c r="Q367" s="154"/>
      <c r="R367" s="154"/>
      <c r="S367" s="154"/>
      <c r="T367" s="155" t="s">
        <v>647</v>
      </c>
    </row>
    <row r="368" spans="1:21" s="74" customFormat="1" ht="195" x14ac:dyDescent="0.25">
      <c r="A368" s="134" t="s">
        <v>206</v>
      </c>
      <c r="B368" s="144" t="s">
        <v>417</v>
      </c>
      <c r="C368" s="134" t="s">
        <v>572</v>
      </c>
      <c r="D368" s="143">
        <v>180000</v>
      </c>
      <c r="E368" s="144" t="s">
        <v>18</v>
      </c>
      <c r="F368" s="144">
        <v>13</v>
      </c>
      <c r="G368" s="134" t="str">
        <f>VLOOKUP(F368,plan3!A$1:H$300,3,FALSE)</f>
        <v>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DESMONTÁVEL PARA QUE POSSA SER AUTOCLAVADA E/OU ESTERILIZADA; CALIBRADA ORIGINALMENTE DO FABRICANTE</v>
      </c>
      <c r="H368" s="134">
        <v>418</v>
      </c>
      <c r="I368" s="144">
        <v>1</v>
      </c>
      <c r="J368" s="146">
        <v>42894</v>
      </c>
      <c r="K368" s="147">
        <f>VLOOKUP(F368,plan3!A$1:H$300,8,FALSE)</f>
        <v>296.99</v>
      </c>
      <c r="L368" s="146">
        <v>42577</v>
      </c>
      <c r="M368" s="144" t="s">
        <v>585</v>
      </c>
      <c r="N368" s="154">
        <v>1</v>
      </c>
      <c r="O368" s="147">
        <f t="shared" si="9"/>
        <v>296.99</v>
      </c>
      <c r="P368" s="167">
        <v>42942</v>
      </c>
      <c r="Q368" s="154" t="s">
        <v>634</v>
      </c>
      <c r="R368" s="154"/>
      <c r="S368" s="154"/>
      <c r="T368" s="155" t="s">
        <v>601</v>
      </c>
    </row>
    <row r="369" spans="1:20" s="74" customFormat="1" x14ac:dyDescent="0.25">
      <c r="A369" s="144" t="s">
        <v>206</v>
      </c>
      <c r="B369" s="144" t="s">
        <v>417</v>
      </c>
      <c r="C369" s="144" t="s">
        <v>572</v>
      </c>
      <c r="D369" s="143">
        <v>180000</v>
      </c>
      <c r="E369" s="144" t="s">
        <v>18</v>
      </c>
      <c r="F369" s="144">
        <v>43</v>
      </c>
      <c r="G369" s="134" t="str">
        <f>VLOOKUP(F369,plan3!A$1:H$300,3,FALSE)</f>
        <v>PIPETA GRADUADA ESGOTAMENTO TOTAL 10 ML</v>
      </c>
      <c r="H369" s="134">
        <v>418</v>
      </c>
      <c r="I369" s="144">
        <v>10</v>
      </c>
      <c r="J369" s="146">
        <v>42894</v>
      </c>
      <c r="K369" s="147">
        <f>VLOOKUP(F369,plan3!A$1:H$300,8,FALSE)</f>
        <v>1.82</v>
      </c>
      <c r="L369" s="146">
        <v>42577</v>
      </c>
      <c r="M369" s="144" t="s">
        <v>586</v>
      </c>
      <c r="N369" s="154">
        <v>10</v>
      </c>
      <c r="O369" s="156">
        <f t="shared" si="9"/>
        <v>18.2</v>
      </c>
      <c r="P369" s="167">
        <v>42933</v>
      </c>
      <c r="Q369" s="154" t="s">
        <v>635</v>
      </c>
      <c r="R369" s="154"/>
      <c r="S369" s="154"/>
      <c r="T369" s="155" t="s">
        <v>601</v>
      </c>
    </row>
    <row r="370" spans="1:20" s="74" customFormat="1" x14ac:dyDescent="0.25">
      <c r="A370" s="134" t="s">
        <v>206</v>
      </c>
      <c r="B370" s="144" t="s">
        <v>417</v>
      </c>
      <c r="C370" s="134" t="s">
        <v>572</v>
      </c>
      <c r="D370" s="143">
        <v>180000</v>
      </c>
      <c r="E370" s="144" t="s">
        <v>18</v>
      </c>
      <c r="F370" s="144">
        <v>48</v>
      </c>
      <c r="G370" s="134" t="str">
        <f>VLOOKUP(F370,plan3!A$1:H$300,3,FALSE)</f>
        <v>PIPETA GRADUADA ESGOTAMENTO TOTAL 5 ML</v>
      </c>
      <c r="H370" s="134">
        <v>418</v>
      </c>
      <c r="I370" s="144">
        <v>10</v>
      </c>
      <c r="J370" s="146">
        <v>42894</v>
      </c>
      <c r="K370" s="147">
        <f>VLOOKUP(F370,plan3!A$1:H$300,8,FALSE)</f>
        <v>2.29</v>
      </c>
      <c r="L370" s="146">
        <v>42577</v>
      </c>
      <c r="M370" s="144" t="s">
        <v>586</v>
      </c>
      <c r="N370" s="154">
        <v>10</v>
      </c>
      <c r="O370" s="156">
        <f t="shared" si="9"/>
        <v>22.9</v>
      </c>
      <c r="P370" s="167">
        <v>42933</v>
      </c>
      <c r="Q370" s="154" t="s">
        <v>635</v>
      </c>
      <c r="R370" s="154"/>
      <c r="S370" s="154"/>
      <c r="T370" s="155" t="s">
        <v>601</v>
      </c>
    </row>
    <row r="371" spans="1:20" s="74" customFormat="1" ht="60" x14ac:dyDescent="0.25">
      <c r="A371" s="144" t="s">
        <v>206</v>
      </c>
      <c r="B371" s="144" t="s">
        <v>417</v>
      </c>
      <c r="C371" s="144" t="s">
        <v>572</v>
      </c>
      <c r="D371" s="143">
        <v>180000</v>
      </c>
      <c r="E371" s="144" t="s">
        <v>18</v>
      </c>
      <c r="F371" s="144">
        <v>169</v>
      </c>
      <c r="G371" s="134" t="str">
        <f>VLOOKUP(F371,plan3!A$1:H$300,3,FALSE)</f>
        <v>PONTEIRA PARA PIPETA AUTOMÁTICA, TIPO PONTEIRAS PLÁSTICAS GILSON, SEM FILTRO, TRANSPARENTE, VOLUME 1-200L; LIVRE DE DNASE, RNASE E PIROGÊNIO. PACOTE COM 100 UND</v>
      </c>
      <c r="H371" s="134">
        <v>418</v>
      </c>
      <c r="I371" s="144">
        <v>1</v>
      </c>
      <c r="J371" s="146">
        <v>42894</v>
      </c>
      <c r="K371" s="147">
        <f>VLOOKUP(F371,plan3!A$1:H$300,8,FALSE)</f>
        <v>25</v>
      </c>
      <c r="L371" s="146">
        <v>42577</v>
      </c>
      <c r="M371" s="154" t="s">
        <v>583</v>
      </c>
      <c r="N371" s="154">
        <v>1</v>
      </c>
      <c r="O371" s="156">
        <f>N371*K371</f>
        <v>25</v>
      </c>
      <c r="P371" s="167">
        <v>42933</v>
      </c>
      <c r="Q371" s="154" t="s">
        <v>632</v>
      </c>
      <c r="R371" s="154"/>
      <c r="S371" s="154"/>
      <c r="T371" s="155" t="s">
        <v>601</v>
      </c>
    </row>
    <row r="372" spans="1:20" s="74" customFormat="1" ht="30" x14ac:dyDescent="0.25">
      <c r="A372" s="134" t="s">
        <v>206</v>
      </c>
      <c r="B372" s="144" t="s">
        <v>417</v>
      </c>
      <c r="C372" s="134" t="s">
        <v>572</v>
      </c>
      <c r="D372" s="143">
        <v>180000</v>
      </c>
      <c r="E372" s="144" t="s">
        <v>18</v>
      </c>
      <c r="F372" s="144">
        <v>90</v>
      </c>
      <c r="G372" s="134" t="str">
        <f>VLOOKUP(F372,plan3!A$1:H$300,3,FALSE)</f>
        <v>PROVETA EM VIDRO GRADUADA COM BASE SEXTAVADA DE POLIETILENO CAPACIDADE 100 ML</v>
      </c>
      <c r="H372" s="134">
        <v>418</v>
      </c>
      <c r="I372" s="144">
        <v>5</v>
      </c>
      <c r="J372" s="146">
        <v>42894</v>
      </c>
      <c r="K372" s="147">
        <f>VLOOKUP(F372,plan3!A$1:H$300,8,FALSE)</f>
        <v>3.35</v>
      </c>
      <c r="L372" s="146">
        <v>42577</v>
      </c>
      <c r="M372" s="154" t="s">
        <v>580</v>
      </c>
      <c r="N372" s="154">
        <v>5</v>
      </c>
      <c r="O372" s="156">
        <f>N372*K372</f>
        <v>16.75</v>
      </c>
      <c r="P372" s="167">
        <v>43055</v>
      </c>
      <c r="Q372" s="154" t="s">
        <v>629</v>
      </c>
      <c r="R372" s="154"/>
      <c r="S372" s="154"/>
      <c r="T372" s="155" t="s">
        <v>601</v>
      </c>
    </row>
    <row r="373" spans="1:20" s="74" customFormat="1" ht="30" x14ac:dyDescent="0.25">
      <c r="A373" s="144" t="s">
        <v>206</v>
      </c>
      <c r="B373" s="144" t="s">
        <v>417</v>
      </c>
      <c r="C373" s="144" t="s">
        <v>572</v>
      </c>
      <c r="D373" s="143">
        <v>180000</v>
      </c>
      <c r="E373" s="144" t="s">
        <v>18</v>
      </c>
      <c r="F373" s="144">
        <v>89</v>
      </c>
      <c r="G373" s="134" t="str">
        <f>VLOOKUP(F373,plan3!A$1:H$300,3,FALSE)</f>
        <v>PROVETA EM VIDRO GRADUADA COM BASE SEXTAVADA DE POLIETILENO CAPACIDADE 10 ML</v>
      </c>
      <c r="H373" s="134">
        <v>418</v>
      </c>
      <c r="I373" s="144">
        <v>20</v>
      </c>
      <c r="J373" s="146">
        <v>42894</v>
      </c>
      <c r="K373" s="147">
        <f>VLOOKUP(F373,plan3!A$1:H$300,8,FALSE)</f>
        <v>4.6100000000000003</v>
      </c>
      <c r="L373" s="146">
        <v>42577</v>
      </c>
      <c r="M373" s="154" t="s">
        <v>580</v>
      </c>
      <c r="N373" s="154">
        <v>20</v>
      </c>
      <c r="O373" s="156">
        <f t="shared" ref="O373:O374" si="10">N373*K373</f>
        <v>92.2</v>
      </c>
      <c r="P373" s="167">
        <v>43055</v>
      </c>
      <c r="Q373" s="154" t="s">
        <v>629</v>
      </c>
      <c r="R373" s="154"/>
      <c r="S373" s="154"/>
      <c r="T373" s="155" t="s">
        <v>601</v>
      </c>
    </row>
    <row r="374" spans="1:20" s="74" customFormat="1" ht="30" x14ac:dyDescent="0.25">
      <c r="A374" s="134" t="s">
        <v>206</v>
      </c>
      <c r="B374" s="144" t="s">
        <v>417</v>
      </c>
      <c r="C374" s="134" t="s">
        <v>572</v>
      </c>
      <c r="D374" s="143">
        <v>180000</v>
      </c>
      <c r="E374" s="144" t="s">
        <v>18</v>
      </c>
      <c r="F374" s="144">
        <v>94</v>
      </c>
      <c r="G374" s="134" t="str">
        <f>VLOOKUP(F374,plan3!A$1:H$300,3,FALSE)</f>
        <v>PROVETA EM VIDRO GRADUADA COM BASE SEXTAVADA DE POLIETILENO CAPACIDADE 25ML</v>
      </c>
      <c r="H374" s="134">
        <v>418</v>
      </c>
      <c r="I374" s="144">
        <v>15</v>
      </c>
      <c r="J374" s="146">
        <v>42894</v>
      </c>
      <c r="K374" s="147">
        <f>VLOOKUP(F374,plan3!A$1:H$300,8,FALSE)</f>
        <v>4.49</v>
      </c>
      <c r="L374" s="146">
        <v>42577</v>
      </c>
      <c r="M374" s="154" t="s">
        <v>580</v>
      </c>
      <c r="N374" s="154">
        <v>15</v>
      </c>
      <c r="O374" s="156">
        <f t="shared" si="10"/>
        <v>67.350000000000009</v>
      </c>
      <c r="P374" s="167">
        <v>43055</v>
      </c>
      <c r="Q374" s="154" t="s">
        <v>629</v>
      </c>
      <c r="R374" s="154"/>
      <c r="S374" s="154"/>
      <c r="T374" s="155" t="s">
        <v>601</v>
      </c>
    </row>
    <row r="375" spans="1:20" s="74" customFormat="1" ht="30" x14ac:dyDescent="0.25">
      <c r="A375" s="144" t="s">
        <v>206</v>
      </c>
      <c r="B375" s="144" t="s">
        <v>417</v>
      </c>
      <c r="C375" s="144" t="s">
        <v>572</v>
      </c>
      <c r="D375" s="143">
        <v>180000</v>
      </c>
      <c r="E375" s="144" t="s">
        <v>18</v>
      </c>
      <c r="F375" s="157">
        <v>125</v>
      </c>
      <c r="G375" s="134" t="str">
        <f>VLOOKUP(F375,plan3!A$1:H$300,3,FALSE)</f>
        <v>SUPORTE DE VIDRO PARA PIPETAS; SUPORTE GIRATÓRIO PARA PIPETAS DE VIDRO</v>
      </c>
      <c r="H375" s="134">
        <v>418</v>
      </c>
      <c r="I375" s="144">
        <v>2</v>
      </c>
      <c r="J375" s="146">
        <v>42894</v>
      </c>
      <c r="K375" s="147">
        <f>VLOOKUP(F375,plan3!A$1:H$300,8,FALSE)</f>
        <v>88.53</v>
      </c>
      <c r="L375" s="146">
        <v>42577</v>
      </c>
      <c r="M375" s="154" t="s">
        <v>587</v>
      </c>
      <c r="N375" s="162">
        <v>1</v>
      </c>
      <c r="O375" s="156">
        <f t="shared" ref="O375" si="11">N375*K375</f>
        <v>88.53</v>
      </c>
      <c r="P375" s="167">
        <v>42970</v>
      </c>
      <c r="Q375" s="154" t="s">
        <v>636</v>
      </c>
      <c r="R375" s="154"/>
      <c r="S375" s="154"/>
      <c r="T375" s="155" t="s">
        <v>601</v>
      </c>
    </row>
    <row r="376" spans="1:20" s="74" customFormat="1" x14ac:dyDescent="0.25">
      <c r="A376" s="134" t="s">
        <v>206</v>
      </c>
      <c r="B376" s="144" t="s">
        <v>417</v>
      </c>
      <c r="C376" s="134" t="s">
        <v>572</v>
      </c>
      <c r="D376" s="143">
        <v>180000</v>
      </c>
      <c r="E376" s="144" t="s">
        <v>18</v>
      </c>
      <c r="F376" s="144">
        <v>121</v>
      </c>
      <c r="G376" s="134" t="str">
        <f>VLOOKUP(F376,plan3!A$1:H$300,3,FALSE)</f>
        <v>SUPORTE PARA BURETAS</v>
      </c>
      <c r="H376" s="134">
        <v>418</v>
      </c>
      <c r="I376" s="144">
        <v>5</v>
      </c>
      <c r="J376" s="146">
        <v>42894</v>
      </c>
      <c r="K376" s="147">
        <f>VLOOKUP(F376,plan3!A$1:H$300,8,FALSE)</f>
        <v>42.73</v>
      </c>
      <c r="L376" s="146">
        <v>42577</v>
      </c>
      <c r="M376" s="154" t="s">
        <v>587</v>
      </c>
      <c r="N376" s="154">
        <v>5</v>
      </c>
      <c r="O376" s="156">
        <f>N376*K376</f>
        <v>213.64999999999998</v>
      </c>
      <c r="P376" s="167">
        <v>42970</v>
      </c>
      <c r="Q376" s="154" t="s">
        <v>636</v>
      </c>
      <c r="R376" s="154"/>
      <c r="S376" s="154"/>
      <c r="T376" s="155" t="s">
        <v>601</v>
      </c>
    </row>
    <row r="377" spans="1:20" s="74" customFormat="1" ht="30" x14ac:dyDescent="0.25">
      <c r="A377" s="144" t="s">
        <v>206</v>
      </c>
      <c r="B377" s="144" t="s">
        <v>417</v>
      </c>
      <c r="C377" s="144" t="s">
        <v>572</v>
      </c>
      <c r="D377" s="143">
        <v>180000</v>
      </c>
      <c r="E377" s="144" t="s">
        <v>18</v>
      </c>
      <c r="F377" s="144">
        <v>122</v>
      </c>
      <c r="G377" s="134" t="str">
        <f>VLOOKUP(F377,plan3!A$1:H$300,3,FALSE)</f>
        <v>SUPORTE PARA TUBOS DE ENSAIO, CAPACIDADE PARA 24 TUBOS</v>
      </c>
      <c r="H377" s="134">
        <v>418</v>
      </c>
      <c r="I377" s="144">
        <v>10</v>
      </c>
      <c r="J377" s="146">
        <v>42894</v>
      </c>
      <c r="K377" s="147">
        <f>VLOOKUP(F377,plan3!A$1:H$300,8,FALSE)</f>
        <v>21.65</v>
      </c>
      <c r="L377" s="146">
        <v>42577</v>
      </c>
      <c r="M377" s="154" t="s">
        <v>587</v>
      </c>
      <c r="N377" s="154">
        <v>10</v>
      </c>
      <c r="O377" s="156">
        <f>N377*K377</f>
        <v>216.5</v>
      </c>
      <c r="P377" s="167">
        <v>42970</v>
      </c>
      <c r="Q377" s="154" t="s">
        <v>636</v>
      </c>
      <c r="R377" s="154"/>
      <c r="S377" s="154"/>
      <c r="T377" s="155" t="s">
        <v>601</v>
      </c>
    </row>
    <row r="378" spans="1:20" s="74" customFormat="1" x14ac:dyDescent="0.25">
      <c r="A378" s="134" t="s">
        <v>206</v>
      </c>
      <c r="B378" s="144" t="s">
        <v>417</v>
      </c>
      <c r="C378" s="134" t="s">
        <v>572</v>
      </c>
      <c r="D378" s="143">
        <v>180000</v>
      </c>
      <c r="E378" s="144" t="s">
        <v>18</v>
      </c>
      <c r="F378" s="144">
        <v>127</v>
      </c>
      <c r="G378" s="134" t="str">
        <f>VLOOKUP(F378,plan3!A$1:H$300,3,FALSE)</f>
        <v>TERMÔMETRO DE 100 C A 300 C, VIDRO</v>
      </c>
      <c r="H378" s="134">
        <v>418</v>
      </c>
      <c r="I378" s="144">
        <v>2</v>
      </c>
      <c r="J378" s="146">
        <v>42894</v>
      </c>
      <c r="K378" s="147">
        <f>VLOOKUP(F378,plan3!A$1:H$300,8,FALSE)</f>
        <v>170</v>
      </c>
      <c r="L378" s="146">
        <v>42577</v>
      </c>
      <c r="M378" s="154" t="s">
        <v>581</v>
      </c>
      <c r="N378" s="154">
        <v>2</v>
      </c>
      <c r="O378" s="156">
        <f>N378*K378</f>
        <v>340</v>
      </c>
      <c r="P378" s="167">
        <v>42954</v>
      </c>
      <c r="Q378" s="154" t="s">
        <v>630</v>
      </c>
      <c r="R378" s="154"/>
      <c r="S378" s="154"/>
      <c r="T378" s="155" t="s">
        <v>601</v>
      </c>
    </row>
    <row r="379" spans="1:20" s="74" customFormat="1" ht="30" x14ac:dyDescent="0.25">
      <c r="A379" s="144" t="s">
        <v>206</v>
      </c>
      <c r="B379" s="144" t="s">
        <v>417</v>
      </c>
      <c r="C379" s="144" t="s">
        <v>572</v>
      </c>
      <c r="D379" s="143">
        <v>180000</v>
      </c>
      <c r="E379" s="144" t="s">
        <v>18</v>
      </c>
      <c r="F379" s="144">
        <v>128</v>
      </c>
      <c r="G379" s="134" t="str">
        <f>VLOOKUP(F379,plan3!A$1:H$300,3,FALSE)</f>
        <v>TERMÔMETRO PARA USO GERAL, ESCALA INTERNA, - 10 +150 C SEM TEFLON</v>
      </c>
      <c r="H379" s="134">
        <v>418</v>
      </c>
      <c r="I379" s="144">
        <v>3</v>
      </c>
      <c r="J379" s="146">
        <v>42894</v>
      </c>
      <c r="K379" s="147">
        <f>VLOOKUP(F379,plan3!A$1:H$300,8,FALSE)</f>
        <v>34.19</v>
      </c>
      <c r="L379" s="146">
        <v>42577</v>
      </c>
      <c r="M379" s="154" t="s">
        <v>581</v>
      </c>
      <c r="N379" s="154">
        <v>3</v>
      </c>
      <c r="O379" s="156">
        <f>N379*K379</f>
        <v>102.57</v>
      </c>
      <c r="P379" s="167">
        <v>42954</v>
      </c>
      <c r="Q379" s="154" t="s">
        <v>630</v>
      </c>
      <c r="R379" s="154"/>
      <c r="S379" s="154"/>
      <c r="T379" s="155" t="s">
        <v>601</v>
      </c>
    </row>
    <row r="380" spans="1:20" s="74" customFormat="1" ht="30" x14ac:dyDescent="0.25">
      <c r="A380" s="134" t="s">
        <v>206</v>
      </c>
      <c r="B380" s="144" t="s">
        <v>417</v>
      </c>
      <c r="C380" s="134" t="s">
        <v>572</v>
      </c>
      <c r="D380" s="143">
        <v>180000</v>
      </c>
      <c r="E380" s="144" t="s">
        <v>18</v>
      </c>
      <c r="F380" s="157">
        <v>141</v>
      </c>
      <c r="G380" s="159" t="str">
        <f>VLOOKUP(F380,plan3!A$1:H$300,3,FALSE)</f>
        <v>TUBO DE ENSAIO TAMANHO 12 X 75 - 5 ML, PACOTE COM 1000 UNIDADES</v>
      </c>
      <c r="H380" s="159">
        <v>418</v>
      </c>
      <c r="I380" s="157">
        <v>1</v>
      </c>
      <c r="J380" s="160">
        <v>42894</v>
      </c>
      <c r="K380" s="161">
        <f>VLOOKUP(F380,plan3!A$1:H$300,8,FALSE)</f>
        <v>7.0000000000000007E-2</v>
      </c>
      <c r="L380" s="160">
        <v>42577</v>
      </c>
      <c r="M380" s="162"/>
      <c r="N380" s="162"/>
      <c r="O380" s="163"/>
      <c r="P380" s="162"/>
      <c r="Q380" s="162"/>
      <c r="R380" s="162"/>
      <c r="S380" s="162"/>
      <c r="T380" s="164"/>
    </row>
    <row r="381" spans="1:20" s="74" customFormat="1" ht="45" x14ac:dyDescent="0.25">
      <c r="A381" s="144" t="s">
        <v>206</v>
      </c>
      <c r="B381" s="144" t="s">
        <v>417</v>
      </c>
      <c r="C381" s="144" t="s">
        <v>572</v>
      </c>
      <c r="D381" s="143">
        <v>180000</v>
      </c>
      <c r="E381" s="144" t="s">
        <v>18</v>
      </c>
      <c r="F381" s="144">
        <v>148</v>
      </c>
      <c r="G381" s="134" t="str">
        <f>VLOOKUP(F381,plan3!A$1:H$300,3,FALSE)</f>
        <v>TUBO DE FOLIN-WU, GRADUADO PERMANENTE CLASSE A, CAPACIDADE 25 ML, SUBDIVISÃO 12,5 ML, CALIBRADO A 20 C, DIÂMETRO EXTERNO APROXIMADO 19 MM</v>
      </c>
      <c r="H381" s="134">
        <v>418</v>
      </c>
      <c r="I381" s="144">
        <v>10</v>
      </c>
      <c r="J381" s="146">
        <v>42894</v>
      </c>
      <c r="K381" s="147">
        <f>VLOOKUP(F381,plan3!A$1:H$300,8,FALSE)</f>
        <v>17.48</v>
      </c>
      <c r="L381" s="146">
        <v>42577</v>
      </c>
      <c r="M381" s="154" t="s">
        <v>587</v>
      </c>
      <c r="N381" s="154">
        <v>10</v>
      </c>
      <c r="O381" s="156">
        <f>N381*K381</f>
        <v>174.8</v>
      </c>
      <c r="P381" s="167">
        <v>42970</v>
      </c>
      <c r="Q381" s="154" t="s">
        <v>636</v>
      </c>
      <c r="R381" s="154"/>
      <c r="S381" s="154"/>
      <c r="T381" s="155" t="s">
        <v>601</v>
      </c>
    </row>
    <row r="382" spans="1:20" s="74" customFormat="1" x14ac:dyDescent="0.25">
      <c r="A382" s="134" t="s">
        <v>206</v>
      </c>
      <c r="B382" s="144" t="s">
        <v>417</v>
      </c>
      <c r="C382" s="134" t="s">
        <v>572</v>
      </c>
      <c r="D382" s="143">
        <v>180000</v>
      </c>
      <c r="E382" s="144" t="s">
        <v>18</v>
      </c>
      <c r="F382" s="144">
        <v>149</v>
      </c>
      <c r="G382" s="134" t="str">
        <f>VLOOKUP(F382,plan3!A$1:H$300,3,FALSE)</f>
        <v>TUBO DE NESSLER 25 ML</v>
      </c>
      <c r="H382" s="134">
        <v>418</v>
      </c>
      <c r="I382" s="144">
        <v>10</v>
      </c>
      <c r="J382" s="146">
        <v>42894</v>
      </c>
      <c r="K382" s="147">
        <f>VLOOKUP(F382,plan3!A$1:H$300,8,FALSE)</f>
        <v>17.48</v>
      </c>
      <c r="L382" s="146">
        <v>42577</v>
      </c>
      <c r="M382" s="154" t="s">
        <v>587</v>
      </c>
      <c r="N382" s="154">
        <v>10</v>
      </c>
      <c r="O382" s="156">
        <f>N382*K382</f>
        <v>174.8</v>
      </c>
      <c r="P382" s="167">
        <v>42970</v>
      </c>
      <c r="Q382" s="154" t="s">
        <v>636</v>
      </c>
      <c r="R382" s="154"/>
      <c r="S382" s="154"/>
      <c r="T382" s="155" t="s">
        <v>601</v>
      </c>
    </row>
    <row r="383" spans="1:20" s="74" customFormat="1" ht="60" x14ac:dyDescent="0.25">
      <c r="A383" s="144" t="s">
        <v>206</v>
      </c>
      <c r="B383" s="144" t="s">
        <v>417</v>
      </c>
      <c r="C383" s="144" t="s">
        <v>572</v>
      </c>
      <c r="D383" s="195">
        <v>210300</v>
      </c>
      <c r="E383" s="154" t="s">
        <v>573</v>
      </c>
      <c r="F383" s="144">
        <v>155</v>
      </c>
      <c r="G383" s="134" t="str">
        <f>VLOOKUP(F383,plan3!A$1:H$300,3,FALSE)</f>
        <v>CAIXA DE FIBRA DE PAPELÃO COM TAMPA F GRADE DIVISÓRIA PARA ARMAZENAMENTO DE MICROTUBOS (TIPO EPPENDORF) E TUBO CRIOGÊNICO P/ 100 TUBOS CAP 1.5 / 2.0ML</v>
      </c>
      <c r="H383" s="134">
        <v>439</v>
      </c>
      <c r="I383" s="144">
        <v>100</v>
      </c>
      <c r="J383" s="146">
        <v>42894</v>
      </c>
      <c r="K383" s="147">
        <f>VLOOKUP(F383,plan3!A$1:H$300,8,FALSE)</f>
        <v>4.93</v>
      </c>
      <c r="L383" s="146">
        <v>42577</v>
      </c>
      <c r="M383" s="154" t="s">
        <v>591</v>
      </c>
      <c r="N383" s="154">
        <v>100</v>
      </c>
      <c r="O383" s="156">
        <f>N383*K383</f>
        <v>493</v>
      </c>
      <c r="P383" s="167">
        <v>42940</v>
      </c>
      <c r="Q383" s="154" t="s">
        <v>637</v>
      </c>
      <c r="R383" s="154"/>
      <c r="S383" s="154"/>
      <c r="T383" s="155" t="s">
        <v>601</v>
      </c>
    </row>
    <row r="384" spans="1:20" s="74" customFormat="1" ht="30" x14ac:dyDescent="0.25">
      <c r="A384" s="134" t="s">
        <v>206</v>
      </c>
      <c r="B384" s="144" t="s">
        <v>417</v>
      </c>
      <c r="C384" s="134" t="s">
        <v>572</v>
      </c>
      <c r="D384" s="195">
        <v>210300</v>
      </c>
      <c r="E384" s="154" t="s">
        <v>573</v>
      </c>
      <c r="F384" s="144">
        <v>161</v>
      </c>
      <c r="G384" s="134" t="str">
        <f>VLOOKUP(F384,plan3!A$1:H$300,3,FALSE)</f>
        <v>FRASCO REAGENTE EM VIDRO CAPACIDADE 1000ML COM TAMPA</v>
      </c>
      <c r="H384" s="134">
        <v>439</v>
      </c>
      <c r="I384" s="144">
        <v>36</v>
      </c>
      <c r="J384" s="146">
        <v>42894</v>
      </c>
      <c r="K384" s="147">
        <f>VLOOKUP(F384,plan3!A$1:H$300,8,FALSE)</f>
        <v>15</v>
      </c>
      <c r="L384" s="146">
        <v>42577</v>
      </c>
      <c r="M384" s="154" t="s">
        <v>593</v>
      </c>
      <c r="N384" s="154">
        <v>36</v>
      </c>
      <c r="O384" s="156">
        <f>K384*N384</f>
        <v>540</v>
      </c>
      <c r="P384" s="182">
        <v>42933</v>
      </c>
      <c r="Q384" s="193" t="s">
        <v>631</v>
      </c>
      <c r="R384" s="154"/>
      <c r="S384" s="154"/>
      <c r="T384" s="155" t="s">
        <v>601</v>
      </c>
    </row>
    <row r="385" spans="1:20" s="74" customFormat="1" ht="30" x14ac:dyDescent="0.25">
      <c r="A385" s="144" t="s">
        <v>206</v>
      </c>
      <c r="B385" s="144" t="s">
        <v>417</v>
      </c>
      <c r="C385" s="144" t="s">
        <v>572</v>
      </c>
      <c r="D385" s="195">
        <v>210300</v>
      </c>
      <c r="E385" s="154" t="s">
        <v>573</v>
      </c>
      <c r="F385" s="144">
        <v>162</v>
      </c>
      <c r="G385" s="134" t="str">
        <f>VLOOKUP(F385,plan3!A$1:H$300,3,FALSE)</f>
        <v>FRASCO REAGENTE EM VIDRO CAPACIDADE 125ML COM TAMPA</v>
      </c>
      <c r="H385" s="134">
        <v>439</v>
      </c>
      <c r="I385" s="144">
        <v>36</v>
      </c>
      <c r="J385" s="146">
        <v>42894</v>
      </c>
      <c r="K385" s="147">
        <f>VLOOKUP(F385,plan3!A$1:H$300,8,FALSE)</f>
        <v>12</v>
      </c>
      <c r="L385" s="146">
        <v>42577</v>
      </c>
      <c r="M385" s="154" t="s">
        <v>593</v>
      </c>
      <c r="N385" s="154">
        <v>36</v>
      </c>
      <c r="O385" s="156">
        <v>432</v>
      </c>
      <c r="P385" s="169">
        <v>42933</v>
      </c>
      <c r="Q385" s="193" t="s">
        <v>631</v>
      </c>
      <c r="R385" s="154"/>
      <c r="S385" s="154"/>
      <c r="T385" s="155" t="s">
        <v>601</v>
      </c>
    </row>
    <row r="386" spans="1:20" s="74" customFormat="1" ht="30" x14ac:dyDescent="0.25">
      <c r="A386" s="134" t="s">
        <v>206</v>
      </c>
      <c r="B386" s="144" t="s">
        <v>417</v>
      </c>
      <c r="C386" s="134" t="s">
        <v>572</v>
      </c>
      <c r="D386" s="195">
        <v>210300</v>
      </c>
      <c r="E386" s="154" t="s">
        <v>573</v>
      </c>
      <c r="F386" s="144">
        <v>90</v>
      </c>
      <c r="G386" s="134" t="str">
        <f>VLOOKUP(F386,plan3!A$1:H$300,3,FALSE)</f>
        <v>PROVETA EM VIDRO GRADUADA COM BASE SEXTAVADA DE POLIETILENO CAPACIDADE 100 ML</v>
      </c>
      <c r="H386" s="134">
        <v>439</v>
      </c>
      <c r="I386" s="144">
        <v>12</v>
      </c>
      <c r="J386" s="146">
        <v>42894</v>
      </c>
      <c r="K386" s="147">
        <f>VLOOKUP(F386,plan3!A$1:H$300,8,FALSE)</f>
        <v>3.35</v>
      </c>
      <c r="L386" s="146">
        <v>42577</v>
      </c>
      <c r="M386" s="154" t="s">
        <v>589</v>
      </c>
      <c r="N386" s="154">
        <v>12</v>
      </c>
      <c r="O386" s="156">
        <f>N386*K386</f>
        <v>40.200000000000003</v>
      </c>
      <c r="P386" s="169">
        <v>42976</v>
      </c>
      <c r="Q386" s="193" t="s">
        <v>638</v>
      </c>
      <c r="R386" s="154"/>
      <c r="S386" s="154"/>
      <c r="T386" s="155" t="s">
        <v>601</v>
      </c>
    </row>
    <row r="387" spans="1:20" s="74" customFormat="1" ht="30" x14ac:dyDescent="0.25">
      <c r="A387" s="144" t="s">
        <v>206</v>
      </c>
      <c r="B387" s="144" t="s">
        <v>417</v>
      </c>
      <c r="C387" s="144" t="s">
        <v>572</v>
      </c>
      <c r="D387" s="195">
        <v>210300</v>
      </c>
      <c r="E387" s="154" t="s">
        <v>573</v>
      </c>
      <c r="F387" s="144">
        <v>89</v>
      </c>
      <c r="G387" s="134" t="str">
        <f>VLOOKUP(F387,plan3!A$1:H$300,3,FALSE)</f>
        <v>PROVETA EM VIDRO GRADUADA COM BASE SEXTAVADA DE POLIETILENO CAPACIDADE 10 ML</v>
      </c>
      <c r="H387" s="134">
        <v>439</v>
      </c>
      <c r="I387" s="144">
        <v>12</v>
      </c>
      <c r="J387" s="146">
        <v>42894</v>
      </c>
      <c r="K387" s="147">
        <f>VLOOKUP(F387,plan3!A$1:H$300,8,FALSE)</f>
        <v>4.6100000000000003</v>
      </c>
      <c r="L387" s="146">
        <v>42577</v>
      </c>
      <c r="M387" s="154" t="s">
        <v>589</v>
      </c>
      <c r="N387" s="154">
        <v>12</v>
      </c>
      <c r="O387" s="156">
        <f t="shared" ref="O387:O389" si="12">N387*K387</f>
        <v>55.320000000000007</v>
      </c>
      <c r="P387" s="169">
        <v>42976</v>
      </c>
      <c r="Q387" s="193" t="s">
        <v>638</v>
      </c>
      <c r="R387" s="154"/>
      <c r="S387" s="154"/>
      <c r="T387" s="155" t="s">
        <v>601</v>
      </c>
    </row>
    <row r="388" spans="1:20" s="74" customFormat="1" ht="30" x14ac:dyDescent="0.25">
      <c r="A388" s="134" t="s">
        <v>206</v>
      </c>
      <c r="B388" s="144" t="s">
        <v>417</v>
      </c>
      <c r="C388" s="134" t="s">
        <v>572</v>
      </c>
      <c r="D388" s="195">
        <v>210300</v>
      </c>
      <c r="E388" s="154" t="s">
        <v>573</v>
      </c>
      <c r="F388" s="144">
        <v>94</v>
      </c>
      <c r="G388" s="134" t="str">
        <f>VLOOKUP(F388,plan3!A$1:H$300,3,FALSE)</f>
        <v>PROVETA EM VIDRO GRADUADA COM BASE SEXTAVADA DE POLIETILENO CAPACIDADE 25ML</v>
      </c>
      <c r="H388" s="134">
        <v>439</v>
      </c>
      <c r="I388" s="144">
        <v>12</v>
      </c>
      <c r="J388" s="146">
        <v>42894</v>
      </c>
      <c r="K388" s="147">
        <f>VLOOKUP(F388,plan3!A$1:H$300,8,FALSE)</f>
        <v>4.49</v>
      </c>
      <c r="L388" s="146">
        <v>42577</v>
      </c>
      <c r="M388" s="154" t="s">
        <v>589</v>
      </c>
      <c r="N388" s="154">
        <v>12</v>
      </c>
      <c r="O388" s="156">
        <f t="shared" si="12"/>
        <v>53.88</v>
      </c>
      <c r="P388" s="169">
        <v>42976</v>
      </c>
      <c r="Q388" s="193" t="s">
        <v>638</v>
      </c>
      <c r="R388" s="154"/>
      <c r="S388" s="154"/>
      <c r="T388" s="155" t="s">
        <v>601</v>
      </c>
    </row>
    <row r="389" spans="1:20" s="74" customFormat="1" ht="30" x14ac:dyDescent="0.25">
      <c r="A389" s="144" t="s">
        <v>206</v>
      </c>
      <c r="B389" s="144" t="s">
        <v>417</v>
      </c>
      <c r="C389" s="144" t="s">
        <v>572</v>
      </c>
      <c r="D389" s="195">
        <v>210300</v>
      </c>
      <c r="E389" s="154" t="s">
        <v>573</v>
      </c>
      <c r="F389" s="144">
        <v>92</v>
      </c>
      <c r="G389" s="134" t="str">
        <f>VLOOKUP(F389,plan3!A$1:H$300,3,FALSE)</f>
        <v>PROVETA EM VIDRO GRADUADA COM BASE SEXTAVADA DE POLIETILENO CAPACIDADE 50 ML</v>
      </c>
      <c r="H389" s="134">
        <v>439</v>
      </c>
      <c r="I389" s="144">
        <v>12</v>
      </c>
      <c r="J389" s="146">
        <v>42894</v>
      </c>
      <c r="K389" s="147">
        <f>VLOOKUP(F389,plan3!A$1:H$300,8,FALSE)</f>
        <v>5.12</v>
      </c>
      <c r="L389" s="146">
        <v>42577</v>
      </c>
      <c r="M389" s="154" t="s">
        <v>589</v>
      </c>
      <c r="N389" s="154">
        <v>12</v>
      </c>
      <c r="O389" s="156">
        <f t="shared" si="12"/>
        <v>61.44</v>
      </c>
      <c r="P389" s="169">
        <v>42976</v>
      </c>
      <c r="Q389" s="193" t="s">
        <v>638</v>
      </c>
      <c r="R389" s="154"/>
      <c r="S389" s="154"/>
      <c r="T389" s="155" t="s">
        <v>601</v>
      </c>
    </row>
    <row r="390" spans="1:20" s="74" customFormat="1" ht="30" x14ac:dyDescent="0.25">
      <c r="A390" s="134" t="s">
        <v>206</v>
      </c>
      <c r="B390" s="144" t="s">
        <v>417</v>
      </c>
      <c r="C390" s="134" t="s">
        <v>572</v>
      </c>
      <c r="D390" s="195">
        <v>210300</v>
      </c>
      <c r="E390" s="154" t="s">
        <v>573</v>
      </c>
      <c r="F390" s="144">
        <v>128</v>
      </c>
      <c r="G390" s="134" t="str">
        <f>VLOOKUP(F390,plan3!A$1:H$300,3,FALSE)</f>
        <v>TERMÔMETRO PARA USO GERAL, ESCALA INTERNA, - 10 +150 C SEM TEFLON</v>
      </c>
      <c r="H390" s="134">
        <v>439</v>
      </c>
      <c r="I390" s="144">
        <v>8</v>
      </c>
      <c r="J390" s="146">
        <v>42894</v>
      </c>
      <c r="K390" s="147">
        <f>VLOOKUP(F390,plan3!A$1:H$300,8,FALSE)</f>
        <v>34.19</v>
      </c>
      <c r="L390" s="146">
        <v>42577</v>
      </c>
      <c r="M390" s="154" t="s">
        <v>590</v>
      </c>
      <c r="N390" s="154">
        <v>8</v>
      </c>
      <c r="O390" s="156">
        <f>N390*K390</f>
        <v>273.52</v>
      </c>
      <c r="P390" s="167">
        <v>42954</v>
      </c>
      <c r="Q390" s="154" t="s">
        <v>639</v>
      </c>
      <c r="R390" s="154"/>
      <c r="S390" s="154"/>
      <c r="T390" s="155" t="s">
        <v>601</v>
      </c>
    </row>
    <row r="391" spans="1:20" s="74" customFormat="1" ht="30" x14ac:dyDescent="0.25">
      <c r="A391" s="144" t="s">
        <v>206</v>
      </c>
      <c r="B391" s="144" t="s">
        <v>417</v>
      </c>
      <c r="C391" s="144" t="s">
        <v>572</v>
      </c>
      <c r="D391" s="195">
        <v>210300</v>
      </c>
      <c r="E391" s="154" t="s">
        <v>573</v>
      </c>
      <c r="F391" s="144">
        <v>146</v>
      </c>
      <c r="G391" s="134" t="str">
        <f>VLOOKUP(F391,plan3!A$1:H$300,3,FALSE)</f>
        <v>TUBOS DE MICROCENTRÍFUGA; TIPO EPPENDORF; COM CAPACIDADE DE 1,5ML PACOTE COM 1000</v>
      </c>
      <c r="H391" s="134">
        <v>439</v>
      </c>
      <c r="I391" s="144">
        <v>4</v>
      </c>
      <c r="J391" s="146">
        <v>42894</v>
      </c>
      <c r="K391" s="147">
        <f>VLOOKUP(F391,plan3!A$1:H$300,8,FALSE)</f>
        <v>69.14</v>
      </c>
      <c r="L391" s="146">
        <v>42577</v>
      </c>
      <c r="M391" s="154" t="s">
        <v>591</v>
      </c>
      <c r="N391" s="154">
        <v>4</v>
      </c>
      <c r="O391" s="156">
        <f>N391*K391</f>
        <v>276.56</v>
      </c>
      <c r="P391" s="178">
        <v>42940</v>
      </c>
      <c r="Q391" s="154" t="s">
        <v>637</v>
      </c>
      <c r="R391" s="154"/>
      <c r="S391" s="154"/>
      <c r="T391" s="155" t="s">
        <v>601</v>
      </c>
    </row>
    <row r="392" spans="1:20" s="74" customFormat="1" ht="30" x14ac:dyDescent="0.25">
      <c r="A392" s="134" t="s">
        <v>206</v>
      </c>
      <c r="B392" s="144" t="s">
        <v>417</v>
      </c>
      <c r="C392" s="134" t="s">
        <v>572</v>
      </c>
      <c r="D392" s="195">
        <v>220100</v>
      </c>
      <c r="E392" s="154" t="s">
        <v>420</v>
      </c>
      <c r="F392" s="154">
        <v>161</v>
      </c>
      <c r="G392" s="134" t="str">
        <f>VLOOKUP(F392,plan3!A$1:H$300,3,FALSE)</f>
        <v>FRASCO REAGENTE EM VIDRO CAPACIDADE 1000ML COM TAMPA</v>
      </c>
      <c r="H392" s="155">
        <v>435</v>
      </c>
      <c r="I392" s="154">
        <v>10</v>
      </c>
      <c r="J392" s="146">
        <v>42894</v>
      </c>
      <c r="K392" s="147">
        <f>VLOOKUP(F392,plan3!A$1:H$300,8,FALSE)</f>
        <v>15</v>
      </c>
      <c r="L392" s="146">
        <v>42577</v>
      </c>
      <c r="M392" s="154" t="s">
        <v>593</v>
      </c>
      <c r="N392" s="154">
        <v>10</v>
      </c>
      <c r="O392" s="156">
        <f>K392*N392</f>
        <v>150</v>
      </c>
      <c r="P392" s="169">
        <v>42933</v>
      </c>
      <c r="Q392" s="193" t="s">
        <v>631</v>
      </c>
      <c r="R392" s="154"/>
      <c r="S392" s="154"/>
      <c r="T392" s="155" t="s">
        <v>601</v>
      </c>
    </row>
    <row r="393" spans="1:20" s="74" customFormat="1" ht="30" x14ac:dyDescent="0.25">
      <c r="A393" s="144" t="s">
        <v>206</v>
      </c>
      <c r="B393" s="144" t="s">
        <v>417</v>
      </c>
      <c r="C393" s="144" t="s">
        <v>572</v>
      </c>
      <c r="D393" s="195">
        <v>220100</v>
      </c>
      <c r="E393" s="154" t="s">
        <v>420</v>
      </c>
      <c r="F393" s="154">
        <v>162</v>
      </c>
      <c r="G393" s="134" t="str">
        <f>VLOOKUP(F393,plan3!A$1:H$300,3,FALSE)</f>
        <v>FRASCO REAGENTE EM VIDRO CAPACIDADE 125ML COM TAMPA</v>
      </c>
      <c r="H393" s="155">
        <v>435</v>
      </c>
      <c r="I393" s="154">
        <v>10</v>
      </c>
      <c r="J393" s="146">
        <v>42894</v>
      </c>
      <c r="K393" s="147">
        <f>VLOOKUP(F393,plan3!A$1:H$300,8,FALSE)</f>
        <v>12</v>
      </c>
      <c r="L393" s="146">
        <v>42577</v>
      </c>
      <c r="M393" s="154" t="s">
        <v>593</v>
      </c>
      <c r="N393" s="154">
        <v>10</v>
      </c>
      <c r="O393" s="156">
        <f>K393*N393</f>
        <v>120</v>
      </c>
      <c r="P393" s="169">
        <v>42933</v>
      </c>
      <c r="Q393" s="193" t="s">
        <v>631</v>
      </c>
      <c r="R393" s="154"/>
      <c r="S393" s="154"/>
      <c r="T393" s="155" t="s">
        <v>601</v>
      </c>
    </row>
    <row r="394" spans="1:20" s="74" customFormat="1" ht="30" x14ac:dyDescent="0.25">
      <c r="A394" s="134" t="s">
        <v>206</v>
      </c>
      <c r="B394" s="144" t="s">
        <v>417</v>
      </c>
      <c r="C394" s="134" t="s">
        <v>572</v>
      </c>
      <c r="D394" s="195">
        <v>220100</v>
      </c>
      <c r="E394" s="154" t="s">
        <v>420</v>
      </c>
      <c r="F394" s="154">
        <v>90</v>
      </c>
      <c r="G394" s="134" t="str">
        <f>VLOOKUP(F394,plan3!A$1:H$300,3,FALSE)</f>
        <v>PROVETA EM VIDRO GRADUADA COM BASE SEXTAVADA DE POLIETILENO CAPACIDADE 100 ML</v>
      </c>
      <c r="H394" s="155">
        <v>435</v>
      </c>
      <c r="I394" s="154">
        <v>6</v>
      </c>
      <c r="J394" s="146">
        <v>42894</v>
      </c>
      <c r="K394" s="147">
        <f>VLOOKUP(F394,plan3!A$1:H$300,8,FALSE)</f>
        <v>3.35</v>
      </c>
      <c r="L394" s="146">
        <v>42577</v>
      </c>
      <c r="M394" s="154" t="s">
        <v>589</v>
      </c>
      <c r="N394" s="154">
        <v>6</v>
      </c>
      <c r="O394" s="156">
        <f t="shared" ref="O394:O397" si="13">N394*K394</f>
        <v>20.100000000000001</v>
      </c>
      <c r="P394" s="169">
        <v>42976</v>
      </c>
      <c r="Q394" s="193" t="s">
        <v>638</v>
      </c>
      <c r="R394" s="154"/>
      <c r="S394" s="154"/>
      <c r="T394" s="155" t="s">
        <v>601</v>
      </c>
    </row>
    <row r="395" spans="1:20" s="74" customFormat="1" ht="30" x14ac:dyDescent="0.25">
      <c r="A395" s="144" t="s">
        <v>206</v>
      </c>
      <c r="B395" s="144" t="s">
        <v>417</v>
      </c>
      <c r="C395" s="144" t="s">
        <v>572</v>
      </c>
      <c r="D395" s="195">
        <v>220100</v>
      </c>
      <c r="E395" s="154" t="s">
        <v>420</v>
      </c>
      <c r="F395" s="154">
        <v>89</v>
      </c>
      <c r="G395" s="134" t="str">
        <f>VLOOKUP(F395,plan3!A$1:H$300,3,FALSE)</f>
        <v>PROVETA EM VIDRO GRADUADA COM BASE SEXTAVADA DE POLIETILENO CAPACIDADE 10 ML</v>
      </c>
      <c r="H395" s="155">
        <v>435</v>
      </c>
      <c r="I395" s="154">
        <v>1</v>
      </c>
      <c r="J395" s="146">
        <v>42894</v>
      </c>
      <c r="K395" s="147">
        <f>VLOOKUP(F395,plan3!A$1:H$300,8,FALSE)</f>
        <v>4.6100000000000003</v>
      </c>
      <c r="L395" s="146">
        <v>42577</v>
      </c>
      <c r="M395" s="154" t="s">
        <v>589</v>
      </c>
      <c r="N395" s="154">
        <v>1</v>
      </c>
      <c r="O395" s="156">
        <f t="shared" si="13"/>
        <v>4.6100000000000003</v>
      </c>
      <c r="P395" s="169">
        <v>42976</v>
      </c>
      <c r="Q395" s="193" t="s">
        <v>638</v>
      </c>
      <c r="R395" s="154"/>
      <c r="S395" s="154"/>
      <c r="T395" s="155" t="s">
        <v>601</v>
      </c>
    </row>
    <row r="396" spans="1:20" s="74" customFormat="1" ht="30" x14ac:dyDescent="0.25">
      <c r="A396" s="134" t="s">
        <v>206</v>
      </c>
      <c r="B396" s="144" t="s">
        <v>417</v>
      </c>
      <c r="C396" s="134" t="s">
        <v>572</v>
      </c>
      <c r="D396" s="195">
        <v>220100</v>
      </c>
      <c r="E396" s="154" t="s">
        <v>420</v>
      </c>
      <c r="F396" s="154">
        <v>94</v>
      </c>
      <c r="G396" s="134" t="str">
        <f>VLOOKUP(F396,plan3!A$1:H$300,3,FALSE)</f>
        <v>PROVETA EM VIDRO GRADUADA COM BASE SEXTAVADA DE POLIETILENO CAPACIDADE 25ML</v>
      </c>
      <c r="H396" s="155">
        <v>435</v>
      </c>
      <c r="I396" s="154">
        <v>6</v>
      </c>
      <c r="J396" s="146">
        <v>42894</v>
      </c>
      <c r="K396" s="147">
        <f>VLOOKUP(F396,plan3!A$1:H$300,8,FALSE)</f>
        <v>4.49</v>
      </c>
      <c r="L396" s="146">
        <v>42577</v>
      </c>
      <c r="M396" s="154" t="s">
        <v>589</v>
      </c>
      <c r="N396" s="154">
        <v>6</v>
      </c>
      <c r="O396" s="156">
        <f t="shared" si="13"/>
        <v>26.94</v>
      </c>
      <c r="P396" s="169">
        <v>42976</v>
      </c>
      <c r="Q396" s="193" t="s">
        <v>638</v>
      </c>
      <c r="R396" s="154"/>
      <c r="S396" s="154"/>
      <c r="T396" s="155" t="s">
        <v>601</v>
      </c>
    </row>
    <row r="397" spans="1:20" s="74" customFormat="1" ht="30" x14ac:dyDescent="0.25">
      <c r="A397" s="144" t="s">
        <v>206</v>
      </c>
      <c r="B397" s="144" t="s">
        <v>417</v>
      </c>
      <c r="C397" s="144" t="s">
        <v>572</v>
      </c>
      <c r="D397" s="195">
        <v>220100</v>
      </c>
      <c r="E397" s="154" t="s">
        <v>420</v>
      </c>
      <c r="F397" s="154">
        <v>92</v>
      </c>
      <c r="G397" s="134" t="str">
        <f>VLOOKUP(F397,plan3!A$1:H$300,3,FALSE)</f>
        <v>PROVETA EM VIDRO GRADUADA COM BASE SEXTAVADA DE POLIETILENO CAPACIDADE 50 ML</v>
      </c>
      <c r="H397" s="155">
        <v>435</v>
      </c>
      <c r="I397" s="154">
        <v>6</v>
      </c>
      <c r="J397" s="146">
        <v>42894</v>
      </c>
      <c r="K397" s="147">
        <f>VLOOKUP(F397,plan3!A$1:H$300,8,FALSE)</f>
        <v>5.12</v>
      </c>
      <c r="L397" s="146">
        <v>42577</v>
      </c>
      <c r="M397" s="154" t="s">
        <v>589</v>
      </c>
      <c r="N397" s="154">
        <v>6</v>
      </c>
      <c r="O397" s="156">
        <f t="shared" si="13"/>
        <v>30.72</v>
      </c>
      <c r="P397" s="169">
        <v>42976</v>
      </c>
      <c r="Q397" s="193" t="s">
        <v>638</v>
      </c>
      <c r="R397" s="154"/>
      <c r="S397" s="154"/>
      <c r="T397" s="155" t="s">
        <v>601</v>
      </c>
    </row>
    <row r="398" spans="1:20" s="74" customFormat="1" ht="30" x14ac:dyDescent="0.25">
      <c r="A398" s="134" t="s">
        <v>206</v>
      </c>
      <c r="B398" s="144" t="s">
        <v>417</v>
      </c>
      <c r="C398" s="134" t="s">
        <v>572</v>
      </c>
      <c r="D398" s="195">
        <v>220100</v>
      </c>
      <c r="E398" s="154" t="s">
        <v>420</v>
      </c>
      <c r="F398" s="154">
        <v>128</v>
      </c>
      <c r="G398" s="134" t="str">
        <f>VLOOKUP(F398,plan3!A$1:H$300,3,FALSE)</f>
        <v>TERMÔMETRO PARA USO GERAL, ESCALA INTERNA, - 10 +150 C SEM TEFLON</v>
      </c>
      <c r="H398" s="155">
        <v>435</v>
      </c>
      <c r="I398" s="154">
        <v>3</v>
      </c>
      <c r="J398" s="146">
        <v>42894</v>
      </c>
      <c r="K398" s="147">
        <f>VLOOKUP(F398,plan3!A$1:H$300,8,FALSE)</f>
        <v>34.19</v>
      </c>
      <c r="L398" s="146">
        <v>42577</v>
      </c>
      <c r="M398" s="154" t="s">
        <v>590</v>
      </c>
      <c r="N398" s="154">
        <v>3</v>
      </c>
      <c r="O398" s="156">
        <f>N398*K398</f>
        <v>102.57</v>
      </c>
      <c r="P398" s="167">
        <v>42954</v>
      </c>
      <c r="Q398" s="154" t="s">
        <v>639</v>
      </c>
      <c r="R398" s="154"/>
      <c r="S398" s="154"/>
      <c r="T398" s="155" t="s">
        <v>601</v>
      </c>
    </row>
    <row r="399" spans="1:20" s="74" customFormat="1" ht="30" x14ac:dyDescent="0.25">
      <c r="A399" s="144" t="s">
        <v>206</v>
      </c>
      <c r="B399" s="144" t="s">
        <v>417</v>
      </c>
      <c r="C399" s="144" t="s">
        <v>572</v>
      </c>
      <c r="D399" s="195">
        <v>220600</v>
      </c>
      <c r="E399" s="154" t="s">
        <v>574</v>
      </c>
      <c r="F399" s="154">
        <v>162</v>
      </c>
      <c r="G399" s="134" t="str">
        <f>VLOOKUP(F399,plan3!A$1:H$300,3,FALSE)</f>
        <v>FRASCO REAGENTE EM VIDRO CAPACIDADE 125ML COM TAMPA</v>
      </c>
      <c r="H399" s="155">
        <v>402</v>
      </c>
      <c r="I399" s="154">
        <v>10</v>
      </c>
      <c r="J399" s="146">
        <v>42894</v>
      </c>
      <c r="K399" s="147">
        <f>VLOOKUP(F399,plan3!A$1:H$300,8,FALSE)</f>
        <v>12</v>
      </c>
      <c r="L399" s="146">
        <v>42577</v>
      </c>
      <c r="M399" s="154" t="s">
        <v>593</v>
      </c>
      <c r="N399" s="154">
        <v>10</v>
      </c>
      <c r="O399" s="156">
        <f>K399*N399</f>
        <v>120</v>
      </c>
      <c r="P399" s="189">
        <v>42933</v>
      </c>
      <c r="Q399" s="193" t="s">
        <v>631</v>
      </c>
      <c r="R399" s="154"/>
      <c r="S399" s="154"/>
      <c r="T399" s="155" t="s">
        <v>601</v>
      </c>
    </row>
    <row r="400" spans="1:20" s="74" customFormat="1" ht="195" x14ac:dyDescent="0.25">
      <c r="A400" s="134" t="s">
        <v>206</v>
      </c>
      <c r="B400" s="144" t="s">
        <v>417</v>
      </c>
      <c r="C400" s="134" t="s">
        <v>572</v>
      </c>
      <c r="D400" s="195">
        <v>220600</v>
      </c>
      <c r="E400" s="154" t="s">
        <v>574</v>
      </c>
      <c r="F400" s="154">
        <v>13</v>
      </c>
      <c r="G400" s="134" t="str">
        <f>VLOOKUP(F400,plan3!A$1:H$300,3,FALSE)</f>
        <v>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DESMONTÁVEL PARA QUE POSSA SER AUTOCLAVADA E/OU ESTERILIZADA; CALIBRADA ORIGINALMENTE DO FABRICANTE</v>
      </c>
      <c r="H400" s="155">
        <v>402</v>
      </c>
      <c r="I400" s="154">
        <v>2</v>
      </c>
      <c r="J400" s="146">
        <v>42894</v>
      </c>
      <c r="K400" s="147">
        <f>VLOOKUP(F400,plan3!A$1:H$300,8,FALSE)</f>
        <v>296.99</v>
      </c>
      <c r="L400" s="146">
        <v>42577</v>
      </c>
      <c r="M400" s="154" t="s">
        <v>599</v>
      </c>
      <c r="N400" s="154">
        <v>2</v>
      </c>
      <c r="O400" s="156">
        <f>N400*K400</f>
        <v>593.98</v>
      </c>
      <c r="P400" s="167">
        <v>42942</v>
      </c>
      <c r="Q400" s="154" t="s">
        <v>634</v>
      </c>
      <c r="R400" s="154"/>
      <c r="S400" s="154"/>
      <c r="T400" s="155" t="s">
        <v>601</v>
      </c>
    </row>
    <row r="401" spans="1:20" s="74" customFormat="1" ht="30" x14ac:dyDescent="0.25">
      <c r="A401" s="144" t="s">
        <v>206</v>
      </c>
      <c r="B401" s="144" t="s">
        <v>417</v>
      </c>
      <c r="C401" s="144" t="s">
        <v>572</v>
      </c>
      <c r="D401" s="195">
        <v>220600</v>
      </c>
      <c r="E401" s="154" t="s">
        <v>574</v>
      </c>
      <c r="F401" s="154">
        <v>54</v>
      </c>
      <c r="G401" s="134" t="str">
        <f>VLOOKUP(F401,plan3!A$1:H$300,3,FALSE)</f>
        <v>PIPETA MANUAL; MODELO GRADUADA; CAPACIDADE 10 ML; MATERIAL VIDRO; APLICAÇÃO USO LABORATORIAL</v>
      </c>
      <c r="H401" s="155">
        <v>402</v>
      </c>
      <c r="I401" s="154">
        <v>5</v>
      </c>
      <c r="J401" s="146">
        <v>42894</v>
      </c>
      <c r="K401" s="147">
        <f>VLOOKUP(F401,plan3!A$1:H$300,8,FALSE)</f>
        <v>5.93</v>
      </c>
      <c r="L401" s="146">
        <v>42577</v>
      </c>
      <c r="M401" s="154" t="s">
        <v>589</v>
      </c>
      <c r="N401" s="154">
        <v>5</v>
      </c>
      <c r="O401" s="156">
        <f t="shared" ref="O401:O402" si="14">N401*K401</f>
        <v>29.65</v>
      </c>
      <c r="P401" s="169">
        <v>42976</v>
      </c>
      <c r="Q401" s="193" t="s">
        <v>638</v>
      </c>
      <c r="R401" s="154"/>
      <c r="S401" s="154"/>
      <c r="T401" s="155" t="s">
        <v>601</v>
      </c>
    </row>
    <row r="402" spans="1:20" s="74" customFormat="1" ht="60" x14ac:dyDescent="0.25">
      <c r="A402" s="134" t="s">
        <v>206</v>
      </c>
      <c r="B402" s="144" t="s">
        <v>417</v>
      </c>
      <c r="C402" s="134" t="s">
        <v>572</v>
      </c>
      <c r="D402" s="195">
        <v>220600</v>
      </c>
      <c r="E402" s="154" t="s">
        <v>574</v>
      </c>
      <c r="F402" s="154">
        <v>59</v>
      </c>
      <c r="G402" s="134" t="str">
        <f>VLOOKUP(F402,plan3!A$1:H$300,3,FALSE)</f>
        <v>PIPETA MANUAL; MODELO VOLUMÉTRICA; CAPACIDADE 5 ML; MATERIAL VIDRO BOROSSILICATO; APLICAÇÃO USO LABORATORIAL; CARACTERÍSTICAS ADICIONAIS BOCAS E BICOS TEMPERADOS; GRAVAÇÃO PERMANENTE</v>
      </c>
      <c r="H402" s="155">
        <v>402</v>
      </c>
      <c r="I402" s="154">
        <v>5</v>
      </c>
      <c r="J402" s="146">
        <v>42894</v>
      </c>
      <c r="K402" s="147">
        <f>VLOOKUP(F402,plan3!A$1:H$300,8,FALSE)</f>
        <v>6.47</v>
      </c>
      <c r="L402" s="146">
        <v>42577</v>
      </c>
      <c r="M402" s="154" t="s">
        <v>589</v>
      </c>
      <c r="N402" s="154">
        <v>5</v>
      </c>
      <c r="O402" s="156">
        <f t="shared" si="14"/>
        <v>32.35</v>
      </c>
      <c r="P402" s="169">
        <v>42976</v>
      </c>
      <c r="Q402" s="193" t="s">
        <v>638</v>
      </c>
      <c r="R402" s="154"/>
      <c r="S402" s="154"/>
      <c r="T402" s="155" t="s">
        <v>601</v>
      </c>
    </row>
    <row r="403" spans="1:20" s="74" customFormat="1" ht="30" x14ac:dyDescent="0.25">
      <c r="A403" s="144" t="s">
        <v>206</v>
      </c>
      <c r="B403" s="144" t="s">
        <v>417</v>
      </c>
      <c r="C403" s="144" t="s">
        <v>572</v>
      </c>
      <c r="D403" s="195">
        <v>220600</v>
      </c>
      <c r="E403" s="154" t="s">
        <v>574</v>
      </c>
      <c r="F403" s="154">
        <v>77</v>
      </c>
      <c r="G403" s="134" t="str">
        <f>VLOOKUP(F403,plan3!A$1:H$300,3,FALSE)</f>
        <v>PLACA CROMATOGRÁFICA SÍLICA GEL F254 COM FLUOCEÍNA. CAIXA COM 25 UND</v>
      </c>
      <c r="H403" s="155">
        <v>402</v>
      </c>
      <c r="I403" s="154">
        <v>1</v>
      </c>
      <c r="J403" s="146">
        <v>42894</v>
      </c>
      <c r="K403" s="147">
        <f>VLOOKUP(F403,plan3!A$1:H$300,8,FALSE)</f>
        <v>457.9</v>
      </c>
      <c r="L403" s="146">
        <v>42577</v>
      </c>
      <c r="M403" s="154" t="s">
        <v>595</v>
      </c>
      <c r="N403" s="154">
        <v>1</v>
      </c>
      <c r="O403" s="156">
        <f>N403*K403</f>
        <v>457.9</v>
      </c>
      <c r="P403" s="167">
        <v>42940</v>
      </c>
      <c r="Q403" s="154" t="s">
        <v>641</v>
      </c>
      <c r="R403" s="154"/>
      <c r="S403" s="154"/>
      <c r="T403" s="155" t="s">
        <v>601</v>
      </c>
    </row>
    <row r="404" spans="1:20" s="74" customFormat="1" ht="60" x14ac:dyDescent="0.25">
      <c r="A404" s="134" t="s">
        <v>206</v>
      </c>
      <c r="B404" s="144" t="s">
        <v>417</v>
      </c>
      <c r="C404" s="134" t="s">
        <v>572</v>
      </c>
      <c r="D404" s="195">
        <v>220600</v>
      </c>
      <c r="E404" s="154" t="s">
        <v>574</v>
      </c>
      <c r="F404" s="154">
        <v>169</v>
      </c>
      <c r="G404" s="134" t="str">
        <f>VLOOKUP(F404,plan3!A$1:H$300,3,FALSE)</f>
        <v>PONTEIRA PARA PIPETA AUTOMÁTICA, TIPO PONTEIRAS PLÁSTICAS GILSON, SEM FILTRO, TRANSPARENTE, VOLUME 1-200L; LIVRE DE DNASE, RNASE E PIROGÊNIO. PACOTE COM 100 UND</v>
      </c>
      <c r="H404" s="155">
        <v>402</v>
      </c>
      <c r="I404" s="154">
        <v>2</v>
      </c>
      <c r="J404" s="146">
        <v>42894</v>
      </c>
      <c r="K404" s="147">
        <f>VLOOKUP(F404,plan3!A$1:H$300,8,FALSE)</f>
        <v>25</v>
      </c>
      <c r="L404" s="146">
        <v>42577</v>
      </c>
      <c r="M404" s="154" t="s">
        <v>594</v>
      </c>
      <c r="N404" s="154">
        <v>2</v>
      </c>
      <c r="O404" s="156">
        <f>N404*K404</f>
        <v>50</v>
      </c>
      <c r="P404" s="167">
        <v>42934</v>
      </c>
      <c r="Q404" s="154" t="s">
        <v>640</v>
      </c>
      <c r="R404" s="154"/>
      <c r="S404" s="154"/>
      <c r="T404" s="155" t="s">
        <v>601</v>
      </c>
    </row>
    <row r="405" spans="1:20" s="74" customFormat="1" ht="30" x14ac:dyDescent="0.25">
      <c r="A405" s="144" t="s">
        <v>206</v>
      </c>
      <c r="B405" s="144" t="s">
        <v>417</v>
      </c>
      <c r="C405" s="144" t="s">
        <v>572</v>
      </c>
      <c r="D405" s="195">
        <v>220600</v>
      </c>
      <c r="E405" s="154" t="s">
        <v>574</v>
      </c>
      <c r="F405" s="154">
        <v>90</v>
      </c>
      <c r="G405" s="134" t="str">
        <f>VLOOKUP(F405,plan3!A$1:H$300,3,FALSE)</f>
        <v>PROVETA EM VIDRO GRADUADA COM BASE SEXTAVADA DE POLIETILENO CAPACIDADE 100 ML</v>
      </c>
      <c r="H405" s="155">
        <v>402</v>
      </c>
      <c r="I405" s="154">
        <v>10</v>
      </c>
      <c r="J405" s="146">
        <v>42894</v>
      </c>
      <c r="K405" s="147">
        <f>VLOOKUP(F405,plan3!A$1:H$300,8,FALSE)</f>
        <v>3.35</v>
      </c>
      <c r="L405" s="146">
        <v>42577</v>
      </c>
      <c r="M405" s="154" t="s">
        <v>589</v>
      </c>
      <c r="N405" s="154">
        <v>10</v>
      </c>
      <c r="O405" s="156">
        <f t="shared" ref="O405:O407" si="15">N405*K405</f>
        <v>33.5</v>
      </c>
      <c r="P405" s="169">
        <v>42976</v>
      </c>
      <c r="Q405" s="193" t="s">
        <v>638</v>
      </c>
      <c r="R405" s="154"/>
      <c r="S405" s="154"/>
      <c r="T405" s="155" t="s">
        <v>601</v>
      </c>
    </row>
    <row r="406" spans="1:20" s="74" customFormat="1" ht="30" x14ac:dyDescent="0.25">
      <c r="A406" s="134" t="s">
        <v>206</v>
      </c>
      <c r="B406" s="144" t="s">
        <v>417</v>
      </c>
      <c r="C406" s="134" t="s">
        <v>572</v>
      </c>
      <c r="D406" s="195">
        <v>220600</v>
      </c>
      <c r="E406" s="154" t="s">
        <v>574</v>
      </c>
      <c r="F406" s="154">
        <v>94</v>
      </c>
      <c r="G406" s="134" t="str">
        <f>VLOOKUP(F406,plan3!A$1:H$300,3,FALSE)</f>
        <v>PROVETA EM VIDRO GRADUADA COM BASE SEXTAVADA DE POLIETILENO CAPACIDADE 25ML</v>
      </c>
      <c r="H406" s="155">
        <v>402</v>
      </c>
      <c r="I406" s="154">
        <v>10</v>
      </c>
      <c r="J406" s="146">
        <v>42894</v>
      </c>
      <c r="K406" s="147">
        <f>VLOOKUP(F406,plan3!A$1:H$300,8,FALSE)</f>
        <v>4.49</v>
      </c>
      <c r="L406" s="146">
        <v>42577</v>
      </c>
      <c r="M406" s="154" t="s">
        <v>589</v>
      </c>
      <c r="N406" s="154">
        <v>10</v>
      </c>
      <c r="O406" s="156">
        <f t="shared" si="15"/>
        <v>44.900000000000006</v>
      </c>
      <c r="P406" s="169">
        <v>42976</v>
      </c>
      <c r="Q406" s="193" t="s">
        <v>638</v>
      </c>
      <c r="R406" s="154"/>
      <c r="S406" s="154"/>
      <c r="T406" s="155" t="s">
        <v>601</v>
      </c>
    </row>
    <row r="407" spans="1:20" s="74" customFormat="1" ht="30" x14ac:dyDescent="0.25">
      <c r="A407" s="144" t="s">
        <v>206</v>
      </c>
      <c r="B407" s="144" t="s">
        <v>417</v>
      </c>
      <c r="C407" s="144" t="s">
        <v>572</v>
      </c>
      <c r="D407" s="195">
        <v>220600</v>
      </c>
      <c r="E407" s="154" t="s">
        <v>574</v>
      </c>
      <c r="F407" s="154">
        <v>92</v>
      </c>
      <c r="G407" s="134" t="str">
        <f>VLOOKUP(F407,plan3!A$1:H$300,3,FALSE)</f>
        <v>PROVETA EM VIDRO GRADUADA COM BASE SEXTAVADA DE POLIETILENO CAPACIDADE 50 ML</v>
      </c>
      <c r="H407" s="155">
        <v>402</v>
      </c>
      <c r="I407" s="154">
        <v>10</v>
      </c>
      <c r="J407" s="146">
        <v>42894</v>
      </c>
      <c r="K407" s="147">
        <f>VLOOKUP(F407,plan3!A$1:H$300,8,FALSE)</f>
        <v>5.12</v>
      </c>
      <c r="L407" s="146">
        <v>42577</v>
      </c>
      <c r="M407" s="154" t="s">
        <v>589</v>
      </c>
      <c r="N407" s="154">
        <v>10</v>
      </c>
      <c r="O407" s="156">
        <f t="shared" si="15"/>
        <v>51.2</v>
      </c>
      <c r="P407" s="169">
        <v>42976</v>
      </c>
      <c r="Q407" s="193" t="s">
        <v>638</v>
      </c>
      <c r="R407" s="154"/>
      <c r="S407" s="154"/>
      <c r="T407" s="155" t="s">
        <v>601</v>
      </c>
    </row>
    <row r="408" spans="1:20" s="74" customFormat="1" ht="30" x14ac:dyDescent="0.25">
      <c r="A408" s="134" t="s">
        <v>206</v>
      </c>
      <c r="B408" s="144" t="s">
        <v>417</v>
      </c>
      <c r="C408" s="134" t="s">
        <v>572</v>
      </c>
      <c r="D408" s="195">
        <v>220600</v>
      </c>
      <c r="E408" s="154" t="s">
        <v>574</v>
      </c>
      <c r="F408" s="154">
        <v>122</v>
      </c>
      <c r="G408" s="134" t="str">
        <f>VLOOKUP(F408,plan3!A$1:H$300,3,FALSE)</f>
        <v>SUPORTE PARA TUBOS DE ENSAIO, CAPACIDADE PARA 24 TUBOS</v>
      </c>
      <c r="H408" s="155">
        <v>402</v>
      </c>
      <c r="I408" s="154">
        <v>10</v>
      </c>
      <c r="J408" s="146">
        <v>42894</v>
      </c>
      <c r="K408" s="147">
        <f>VLOOKUP(F408,plan3!A$1:H$300,8,FALSE)</f>
        <v>21.65</v>
      </c>
      <c r="L408" s="146">
        <v>42577</v>
      </c>
      <c r="M408" s="154" t="s">
        <v>596</v>
      </c>
      <c r="N408" s="154">
        <v>10</v>
      </c>
      <c r="O408" s="156">
        <f>N408*K408</f>
        <v>216.5</v>
      </c>
      <c r="P408" s="167">
        <v>42970</v>
      </c>
      <c r="Q408" s="154" t="s">
        <v>644</v>
      </c>
      <c r="R408" s="154"/>
      <c r="S408" s="154"/>
      <c r="T408" s="155" t="s">
        <v>601</v>
      </c>
    </row>
    <row r="409" spans="1:20" s="74" customFormat="1" ht="45" x14ac:dyDescent="0.25">
      <c r="A409" s="144" t="s">
        <v>206</v>
      </c>
      <c r="B409" s="144" t="s">
        <v>417</v>
      </c>
      <c r="C409" s="144" t="s">
        <v>572</v>
      </c>
      <c r="D409" s="195">
        <v>220600</v>
      </c>
      <c r="E409" s="154" t="s">
        <v>574</v>
      </c>
      <c r="F409" s="154">
        <v>170</v>
      </c>
      <c r="G409" s="134" t="str">
        <f>VLOOKUP(F409,plan3!A$1:H$300,3,FALSE)</f>
        <v>TUBOS COM VÁCUO PARA COLETA DE SANGUE, TIPO VACUTAINER K2 COM ANTICOAGULANTE EDTA(K2E). REF 367861.</v>
      </c>
      <c r="H409" s="155">
        <v>402</v>
      </c>
      <c r="I409" s="154">
        <v>100</v>
      </c>
      <c r="J409" s="146">
        <v>42894</v>
      </c>
      <c r="K409" s="147">
        <f>VLOOKUP(F409,plan3!A$1:H$300,8,FALSE)</f>
        <v>0.5</v>
      </c>
      <c r="L409" s="146">
        <v>42577</v>
      </c>
      <c r="M409" s="154" t="s">
        <v>591</v>
      </c>
      <c r="N409" s="154">
        <v>100</v>
      </c>
      <c r="O409" s="156">
        <f t="shared" ref="O409:O410" si="16">N409*K409</f>
        <v>50</v>
      </c>
      <c r="P409" s="177">
        <v>42940</v>
      </c>
      <c r="Q409" s="154" t="s">
        <v>637</v>
      </c>
      <c r="R409" s="154"/>
      <c r="S409" s="154"/>
      <c r="T409" s="155" t="s">
        <v>601</v>
      </c>
    </row>
    <row r="410" spans="1:20" s="74" customFormat="1" ht="30" x14ac:dyDescent="0.25">
      <c r="A410" s="134" t="s">
        <v>206</v>
      </c>
      <c r="B410" s="144" t="s">
        <v>417</v>
      </c>
      <c r="C410" s="134" t="s">
        <v>572</v>
      </c>
      <c r="D410" s="195">
        <v>220600</v>
      </c>
      <c r="E410" s="154" t="s">
        <v>574</v>
      </c>
      <c r="F410" s="154">
        <v>146</v>
      </c>
      <c r="G410" s="134" t="str">
        <f>VLOOKUP(F410,plan3!A$1:H$300,3,FALSE)</f>
        <v>TUBOS DE MICROCENTRÍFUGA; TIPO EPPENDORF; COM CAPACIDADE DE 1,5ML PACOTE COM 1000</v>
      </c>
      <c r="H410" s="155">
        <v>402</v>
      </c>
      <c r="I410" s="154">
        <v>2</v>
      </c>
      <c r="J410" s="146">
        <v>42894</v>
      </c>
      <c r="K410" s="147">
        <f>VLOOKUP(F410,plan3!A$1:H$300,8,FALSE)</f>
        <v>69.14</v>
      </c>
      <c r="L410" s="146">
        <v>42577</v>
      </c>
      <c r="M410" s="154" t="s">
        <v>591</v>
      </c>
      <c r="N410" s="154">
        <v>2</v>
      </c>
      <c r="O410" s="156">
        <f t="shared" si="16"/>
        <v>138.28</v>
      </c>
      <c r="P410" s="167">
        <v>42940</v>
      </c>
      <c r="Q410" s="154" t="s">
        <v>637</v>
      </c>
      <c r="R410" s="154"/>
      <c r="S410" s="154"/>
      <c r="T410" s="155" t="s">
        <v>601</v>
      </c>
    </row>
    <row r="411" spans="1:20" s="74" customFormat="1" x14ac:dyDescent="0.25">
      <c r="A411" s="144" t="s">
        <v>206</v>
      </c>
      <c r="B411" s="144" t="s">
        <v>417</v>
      </c>
      <c r="C411" s="144" t="s">
        <v>572</v>
      </c>
      <c r="D411" s="195">
        <v>270300</v>
      </c>
      <c r="E411" s="154" t="s">
        <v>575</v>
      </c>
      <c r="F411" s="154">
        <v>43</v>
      </c>
      <c r="G411" s="134" t="str">
        <f>VLOOKUP(F411,plan3!A$1:H$300,3,FALSE)</f>
        <v>PIPETA GRADUADA ESGOTAMENTO TOTAL 10 ML</v>
      </c>
      <c r="H411" s="155">
        <v>388</v>
      </c>
      <c r="I411" s="154">
        <v>5</v>
      </c>
      <c r="J411" s="158">
        <v>42891</v>
      </c>
      <c r="K411" s="147">
        <f>VLOOKUP(F411,plan3!A$1:H$300,8,FALSE)</f>
        <v>1.82</v>
      </c>
      <c r="L411" s="146">
        <v>42577</v>
      </c>
      <c r="M411" s="154" t="s">
        <v>600</v>
      </c>
      <c r="N411" s="154">
        <v>5</v>
      </c>
      <c r="O411" s="156">
        <f>N411*K411</f>
        <v>9.1</v>
      </c>
      <c r="P411" s="167">
        <v>42933</v>
      </c>
      <c r="Q411" s="154" t="s">
        <v>635</v>
      </c>
      <c r="R411" s="154"/>
      <c r="S411" s="154"/>
      <c r="T411" s="155" t="s">
        <v>601</v>
      </c>
    </row>
    <row r="412" spans="1:20" s="74" customFormat="1" x14ac:dyDescent="0.25">
      <c r="A412" s="134" t="s">
        <v>206</v>
      </c>
      <c r="B412" s="144" t="s">
        <v>417</v>
      </c>
      <c r="C412" s="134" t="s">
        <v>572</v>
      </c>
      <c r="D412" s="195">
        <v>270300</v>
      </c>
      <c r="E412" s="154" t="s">
        <v>575</v>
      </c>
      <c r="F412" s="154">
        <v>47</v>
      </c>
      <c r="G412" s="134" t="str">
        <f>VLOOKUP(F412,plan3!A$1:H$300,3,FALSE)</f>
        <v>PIPETA GRADUADA ESGOTAMENTO TOTAL 25 ML</v>
      </c>
      <c r="H412" s="155">
        <v>388</v>
      </c>
      <c r="I412" s="154">
        <v>5</v>
      </c>
      <c r="J412" s="158">
        <v>42891</v>
      </c>
      <c r="K412" s="147">
        <f>VLOOKUP(F412,plan3!A$1:H$300,8,FALSE)</f>
        <v>3.95</v>
      </c>
      <c r="L412" s="146">
        <v>42577</v>
      </c>
      <c r="M412" s="154" t="s">
        <v>600</v>
      </c>
      <c r="N412" s="154">
        <v>5</v>
      </c>
      <c r="O412" s="156">
        <f t="shared" ref="O412:O413" si="17">N412*K412</f>
        <v>19.75</v>
      </c>
      <c r="P412" s="167">
        <v>42933</v>
      </c>
      <c r="Q412" s="154" t="s">
        <v>635</v>
      </c>
      <c r="R412" s="154"/>
      <c r="S412" s="154"/>
      <c r="T412" s="155" t="s">
        <v>601</v>
      </c>
    </row>
    <row r="413" spans="1:20" s="74" customFormat="1" x14ac:dyDescent="0.25">
      <c r="A413" s="144" t="s">
        <v>206</v>
      </c>
      <c r="B413" s="144" t="s">
        <v>417</v>
      </c>
      <c r="C413" s="144" t="s">
        <v>572</v>
      </c>
      <c r="D413" s="195">
        <v>270300</v>
      </c>
      <c r="E413" s="154" t="s">
        <v>575</v>
      </c>
      <c r="F413" s="154">
        <v>48</v>
      </c>
      <c r="G413" s="134" t="str">
        <f>VLOOKUP(F413,plan3!A$1:H$300,3,FALSE)</f>
        <v>PIPETA GRADUADA ESGOTAMENTO TOTAL 5 ML</v>
      </c>
      <c r="H413" s="155">
        <v>388</v>
      </c>
      <c r="I413" s="154">
        <v>5</v>
      </c>
      <c r="J413" s="158">
        <v>42891</v>
      </c>
      <c r="K413" s="147">
        <f>VLOOKUP(F413,plan3!A$1:H$300,8,FALSE)</f>
        <v>2.29</v>
      </c>
      <c r="L413" s="146">
        <v>42577</v>
      </c>
      <c r="M413" s="154" t="s">
        <v>600</v>
      </c>
      <c r="N413" s="154">
        <v>5</v>
      </c>
      <c r="O413" s="156">
        <f t="shared" si="17"/>
        <v>11.45</v>
      </c>
      <c r="P413" s="167">
        <v>42933</v>
      </c>
      <c r="Q413" s="154" t="s">
        <v>635</v>
      </c>
      <c r="R413" s="154"/>
      <c r="S413" s="154"/>
      <c r="T413" s="155" t="s">
        <v>601</v>
      </c>
    </row>
    <row r="414" spans="1:20" s="74" customFormat="1" ht="30" x14ac:dyDescent="0.25">
      <c r="A414" s="134" t="s">
        <v>206</v>
      </c>
      <c r="B414" s="144" t="s">
        <v>417</v>
      </c>
      <c r="C414" s="134" t="s">
        <v>572</v>
      </c>
      <c r="D414" s="195">
        <v>270300</v>
      </c>
      <c r="E414" s="154" t="s">
        <v>575</v>
      </c>
      <c r="F414" s="154">
        <v>92</v>
      </c>
      <c r="G414" s="134" t="str">
        <f>VLOOKUP(F414,plan3!A$1:H$300,3,FALSE)</f>
        <v>PROVETA EM VIDRO GRADUADA COM BASE SEXTAVADA DE POLIETILENO CAPACIDADE 50 ML</v>
      </c>
      <c r="H414" s="155">
        <v>388</v>
      </c>
      <c r="I414" s="154">
        <v>1</v>
      </c>
      <c r="J414" s="158">
        <v>42891</v>
      </c>
      <c r="K414" s="147">
        <f>VLOOKUP(F414,plan3!A$1:H$300,8,FALSE)</f>
        <v>5.12</v>
      </c>
      <c r="L414" s="146">
        <v>42577</v>
      </c>
      <c r="M414" s="154" t="s">
        <v>589</v>
      </c>
      <c r="N414" s="154">
        <v>1</v>
      </c>
      <c r="O414" s="156">
        <f>N414*K414</f>
        <v>5.12</v>
      </c>
      <c r="P414" s="169">
        <v>42976</v>
      </c>
      <c r="Q414" s="193" t="s">
        <v>638</v>
      </c>
      <c r="R414" s="154"/>
      <c r="S414" s="154"/>
      <c r="T414" s="155" t="s">
        <v>601</v>
      </c>
    </row>
    <row r="415" spans="1:20" s="74" customFormat="1" ht="75" x14ac:dyDescent="0.25">
      <c r="A415" s="144" t="s">
        <v>206</v>
      </c>
      <c r="B415" s="144" t="s">
        <v>417</v>
      </c>
      <c r="C415" s="144" t="s">
        <v>572</v>
      </c>
      <c r="D415" s="195">
        <v>270300</v>
      </c>
      <c r="E415" s="154" t="s">
        <v>575</v>
      </c>
      <c r="F415" s="154">
        <v>118</v>
      </c>
      <c r="G415" s="134" t="str">
        <f>VLOOKUP(F415,plan3!A$1:H$300,3,FALSE)</f>
        <v>SISTEMA FILTRAÇÃO, COMPONENTES BASE/FUNIL/GARRA E FRASCO, MATERIAL FUNIL VIDRO BOROSSILICATO, MATERIAL GARRA ALUMÍNIO ANODIZADO, DIÂMETRO FILTRO 47, CAPACIDADE FUNIL 300, CARACTERÍSTICAS ADICIONAIS FRASCO 1 LITRO TIPO ERLENMEYER</v>
      </c>
      <c r="H415" s="155">
        <v>388</v>
      </c>
      <c r="I415" s="154">
        <v>1</v>
      </c>
      <c r="J415" s="158">
        <v>42891</v>
      </c>
      <c r="K415" s="147">
        <f>VLOOKUP(F415,plan3!A$1:H$300,8,FALSE)</f>
        <v>525.98</v>
      </c>
      <c r="L415" s="146">
        <v>42577</v>
      </c>
      <c r="M415" s="154" t="s">
        <v>595</v>
      </c>
      <c r="N415" s="154">
        <v>1</v>
      </c>
      <c r="O415" s="156">
        <f>N415*K415</f>
        <v>525.98</v>
      </c>
      <c r="P415" s="167">
        <v>42940</v>
      </c>
      <c r="Q415" s="154" t="s">
        <v>641</v>
      </c>
      <c r="R415" s="154"/>
      <c r="S415" s="154"/>
      <c r="T415" s="155" t="s">
        <v>601</v>
      </c>
    </row>
    <row r="416" spans="1:20" s="74" customFormat="1" ht="30" x14ac:dyDescent="0.25">
      <c r="A416" s="134" t="s">
        <v>206</v>
      </c>
      <c r="B416" s="144" t="s">
        <v>417</v>
      </c>
      <c r="C416" s="134" t="s">
        <v>572</v>
      </c>
      <c r="D416" s="195">
        <v>270300</v>
      </c>
      <c r="E416" s="154" t="s">
        <v>575</v>
      </c>
      <c r="F416" s="154">
        <v>125</v>
      </c>
      <c r="G416" s="134" t="str">
        <f>VLOOKUP(F416,plan3!A$1:H$300,3,FALSE)</f>
        <v>SUPORTE DE VIDRO PARA PIPETAS; SUPORTE GIRATÓRIO PARA PIPETAS DE VIDRO</v>
      </c>
      <c r="H416" s="155">
        <v>388</v>
      </c>
      <c r="I416" s="154">
        <v>1</v>
      </c>
      <c r="J416" s="158">
        <v>42891</v>
      </c>
      <c r="K416" s="147">
        <f>VLOOKUP(F416,plan3!A$1:H$300,8,FALSE)</f>
        <v>88.53</v>
      </c>
      <c r="L416" s="146">
        <v>42577</v>
      </c>
      <c r="M416" s="154" t="s">
        <v>596</v>
      </c>
      <c r="N416" s="154">
        <v>1</v>
      </c>
      <c r="O416" s="156">
        <f t="shared" ref="O416:O417" si="18">N416*K416</f>
        <v>88.53</v>
      </c>
      <c r="P416" s="167">
        <v>42970</v>
      </c>
      <c r="Q416" s="154" t="s">
        <v>644</v>
      </c>
      <c r="R416" s="154"/>
      <c r="S416" s="154"/>
      <c r="T416" s="155" t="s">
        <v>601</v>
      </c>
    </row>
    <row r="417" spans="1:20" s="74" customFormat="1" ht="30" x14ac:dyDescent="0.25">
      <c r="A417" s="144" t="s">
        <v>206</v>
      </c>
      <c r="B417" s="144" t="s">
        <v>417</v>
      </c>
      <c r="C417" s="144" t="s">
        <v>572</v>
      </c>
      <c r="D417" s="195">
        <v>270300</v>
      </c>
      <c r="E417" s="154" t="s">
        <v>575</v>
      </c>
      <c r="F417" s="154">
        <v>122</v>
      </c>
      <c r="G417" s="134" t="str">
        <f>VLOOKUP(F417,plan3!A$1:H$300,3,FALSE)</f>
        <v>SUPORTE PARA TUBOS DE ENSAIO, CAPACIDADE PARA 24 TUBOS</v>
      </c>
      <c r="H417" s="155">
        <v>388</v>
      </c>
      <c r="I417" s="154">
        <v>1</v>
      </c>
      <c r="J417" s="158">
        <v>42891</v>
      </c>
      <c r="K417" s="147">
        <f>VLOOKUP(F417,plan3!A$1:H$300,8,FALSE)</f>
        <v>21.65</v>
      </c>
      <c r="L417" s="146">
        <v>42577</v>
      </c>
      <c r="M417" s="154" t="s">
        <v>596</v>
      </c>
      <c r="N417" s="154">
        <v>1</v>
      </c>
      <c r="O417" s="156">
        <f t="shared" si="18"/>
        <v>21.65</v>
      </c>
      <c r="P417" s="167">
        <v>42970</v>
      </c>
      <c r="Q417" s="154" t="s">
        <v>644</v>
      </c>
      <c r="R417" s="154"/>
      <c r="S417" s="154"/>
      <c r="T417" s="155" t="s">
        <v>601</v>
      </c>
    </row>
    <row r="418" spans="1:20" s="74" customFormat="1" x14ac:dyDescent="0.25">
      <c r="A418" s="134" t="s">
        <v>206</v>
      </c>
      <c r="B418" s="144" t="s">
        <v>417</v>
      </c>
      <c r="C418" s="134" t="s">
        <v>572</v>
      </c>
      <c r="D418" s="195">
        <v>270300</v>
      </c>
      <c r="E418" s="154" t="s">
        <v>575</v>
      </c>
      <c r="F418" s="154">
        <v>127</v>
      </c>
      <c r="G418" s="134" t="str">
        <f>VLOOKUP(F418,plan3!A$1:H$300,3,FALSE)</f>
        <v>TERMÔMETRO DE 100 C A 300 C, VIDRO</v>
      </c>
      <c r="H418" s="155">
        <v>388</v>
      </c>
      <c r="I418" s="154">
        <v>1</v>
      </c>
      <c r="J418" s="158">
        <v>42891</v>
      </c>
      <c r="K418" s="147">
        <f>VLOOKUP(F418,plan3!A$1:H$300,8,FALSE)</f>
        <v>170</v>
      </c>
      <c r="L418" s="146">
        <v>42577</v>
      </c>
      <c r="M418" s="154" t="s">
        <v>590</v>
      </c>
      <c r="N418" s="154">
        <v>1</v>
      </c>
      <c r="O418" s="156">
        <f t="shared" ref="O418:O419" si="19">N418*K418</f>
        <v>170</v>
      </c>
      <c r="P418" s="167">
        <v>42954</v>
      </c>
      <c r="Q418" s="154" t="s">
        <v>639</v>
      </c>
      <c r="R418" s="154"/>
      <c r="S418" s="154"/>
      <c r="T418" s="155" t="s">
        <v>601</v>
      </c>
    </row>
    <row r="419" spans="1:20" s="74" customFormat="1" ht="30" x14ac:dyDescent="0.25">
      <c r="A419" s="144" t="s">
        <v>206</v>
      </c>
      <c r="B419" s="144" t="s">
        <v>417</v>
      </c>
      <c r="C419" s="144" t="s">
        <v>572</v>
      </c>
      <c r="D419" s="195">
        <v>270300</v>
      </c>
      <c r="E419" s="154" t="s">
        <v>575</v>
      </c>
      <c r="F419" s="154">
        <v>128</v>
      </c>
      <c r="G419" s="134" t="str">
        <f>VLOOKUP(F419,plan3!A$1:H$300,3,FALSE)</f>
        <v>TERMÔMETRO PARA USO GERAL, ESCALA INTERNA, - 10 +150 C SEM TEFLON</v>
      </c>
      <c r="H419" s="155">
        <v>388</v>
      </c>
      <c r="I419" s="154">
        <v>1</v>
      </c>
      <c r="J419" s="158">
        <v>42891</v>
      </c>
      <c r="K419" s="147">
        <f>VLOOKUP(F419,plan3!A$1:H$300,8,FALSE)</f>
        <v>34.19</v>
      </c>
      <c r="L419" s="146">
        <v>42577</v>
      </c>
      <c r="M419" s="154" t="s">
        <v>590</v>
      </c>
      <c r="N419" s="154">
        <v>1</v>
      </c>
      <c r="O419" s="156">
        <f t="shared" si="19"/>
        <v>34.19</v>
      </c>
      <c r="P419" s="167">
        <v>42954</v>
      </c>
      <c r="Q419" s="154" t="s">
        <v>639</v>
      </c>
      <c r="R419" s="154"/>
      <c r="S419" s="154"/>
      <c r="T419" s="155" t="s">
        <v>601</v>
      </c>
    </row>
    <row r="420" spans="1:20" s="74" customFormat="1" ht="30" x14ac:dyDescent="0.25">
      <c r="A420" s="134" t="s">
        <v>206</v>
      </c>
      <c r="B420" s="144" t="s">
        <v>417</v>
      </c>
      <c r="C420" s="134" t="s">
        <v>572</v>
      </c>
      <c r="D420" s="195">
        <v>270300</v>
      </c>
      <c r="E420" s="154" t="s">
        <v>575</v>
      </c>
      <c r="F420" s="154">
        <v>141</v>
      </c>
      <c r="G420" s="134" t="str">
        <f>VLOOKUP(F420,plan3!A$1:H$300,3,FALSE)</f>
        <v>TUBO DE ENSAIO TAMANHO 12 X 75 - 5 ML, PACOTE COM 1000 UNIDADES</v>
      </c>
      <c r="H420" s="155">
        <v>388</v>
      </c>
      <c r="I420" s="154">
        <v>1</v>
      </c>
      <c r="J420" s="158">
        <v>42891</v>
      </c>
      <c r="K420" s="147">
        <f>VLOOKUP(F420,plan3!A$1:H$300,8,FALSE)</f>
        <v>7.0000000000000007E-2</v>
      </c>
      <c r="L420" s="146">
        <v>42577</v>
      </c>
      <c r="M420" s="154"/>
      <c r="N420" s="154"/>
      <c r="O420" s="156"/>
      <c r="P420" s="194"/>
      <c r="Q420" s="154"/>
      <c r="R420" s="154"/>
      <c r="S420" s="154"/>
      <c r="T420" s="155"/>
    </row>
    <row r="421" spans="1:20" s="74" customFormat="1" ht="30" x14ac:dyDescent="0.25">
      <c r="A421" s="144" t="s">
        <v>206</v>
      </c>
      <c r="B421" s="144" t="s">
        <v>417</v>
      </c>
      <c r="C421" s="144" t="s">
        <v>572</v>
      </c>
      <c r="D421" s="195">
        <v>280100</v>
      </c>
      <c r="E421" s="154" t="s">
        <v>576</v>
      </c>
      <c r="F421" s="154">
        <v>161</v>
      </c>
      <c r="G421" s="134" t="str">
        <f>VLOOKUP(F421,plan3!A$1:H$300,3,FALSE)</f>
        <v>FRASCO REAGENTE EM VIDRO CAPACIDADE 1000ML COM TAMPA</v>
      </c>
      <c r="H421" s="155">
        <v>445</v>
      </c>
      <c r="I421" s="154">
        <v>2</v>
      </c>
      <c r="J421" s="158">
        <v>42894</v>
      </c>
      <c r="K421" s="147">
        <f>VLOOKUP(F421,plan3!A$1:H$300,8,FALSE)</f>
        <v>15</v>
      </c>
      <c r="L421" s="146">
        <v>42577</v>
      </c>
      <c r="M421" s="154" t="s">
        <v>593</v>
      </c>
      <c r="N421" s="154">
        <v>2</v>
      </c>
      <c r="O421" s="156">
        <f>K421*N421</f>
        <v>30</v>
      </c>
      <c r="P421" s="169">
        <v>42933</v>
      </c>
      <c r="Q421" s="193" t="s">
        <v>631</v>
      </c>
      <c r="R421" s="154"/>
      <c r="S421" s="154"/>
      <c r="T421" s="155" t="s">
        <v>601</v>
      </c>
    </row>
    <row r="422" spans="1:20" s="74" customFormat="1" ht="30" x14ac:dyDescent="0.25">
      <c r="A422" s="134" t="s">
        <v>206</v>
      </c>
      <c r="B422" s="144" t="s">
        <v>417</v>
      </c>
      <c r="C422" s="134" t="s">
        <v>572</v>
      </c>
      <c r="D422" s="195">
        <v>280100</v>
      </c>
      <c r="E422" s="154" t="s">
        <v>576</v>
      </c>
      <c r="F422" s="154">
        <v>162</v>
      </c>
      <c r="G422" s="134" t="str">
        <f>VLOOKUP(F422,plan3!A$1:H$300,3,FALSE)</f>
        <v>FRASCO REAGENTE EM VIDRO CAPACIDADE 125ML COM TAMPA</v>
      </c>
      <c r="H422" s="155">
        <v>445</v>
      </c>
      <c r="I422" s="154">
        <v>2</v>
      </c>
      <c r="J422" s="158">
        <v>42894</v>
      </c>
      <c r="K422" s="147">
        <f>VLOOKUP(F422,plan3!A$1:H$300,8,FALSE)</f>
        <v>12</v>
      </c>
      <c r="L422" s="146">
        <v>42577</v>
      </c>
      <c r="M422" s="154" t="s">
        <v>593</v>
      </c>
      <c r="N422" s="154">
        <v>2</v>
      </c>
      <c r="O422" s="156">
        <f>K422*N422</f>
        <v>24</v>
      </c>
      <c r="P422" s="169">
        <v>42933</v>
      </c>
      <c r="Q422" s="193" t="s">
        <v>631</v>
      </c>
      <c r="R422" s="154"/>
      <c r="S422" s="154"/>
      <c r="T422" s="155" t="s">
        <v>601</v>
      </c>
    </row>
    <row r="423" spans="1:20" s="74" customFormat="1" ht="45" x14ac:dyDescent="0.25">
      <c r="A423" s="144" t="s">
        <v>206</v>
      </c>
      <c r="B423" s="144" t="s">
        <v>417</v>
      </c>
      <c r="C423" s="144" t="s">
        <v>572</v>
      </c>
      <c r="D423" s="195">
        <v>280100</v>
      </c>
      <c r="E423" s="154" t="s">
        <v>576</v>
      </c>
      <c r="F423" s="154">
        <v>28</v>
      </c>
      <c r="G423" s="134" t="str">
        <f>VLOOKUP(F423,plan3!A$1:H$300,3,FALSE)</f>
        <v>PENEIRA GRANULOMÉTRICA, MATERIAL AÇO INOXIDÁVEL, DIÂMETRO 8, ALTURA 2, TAMANHO ABERTURA MALHAS 250 MESH</v>
      </c>
      <c r="H423" s="155">
        <v>445</v>
      </c>
      <c r="I423" s="154">
        <v>1</v>
      </c>
      <c r="J423" s="158">
        <v>42894</v>
      </c>
      <c r="K423" s="147">
        <f>VLOOKUP(F423,plan3!A$1:H$300,8,FALSE)</f>
        <v>120</v>
      </c>
      <c r="L423" s="146">
        <v>42577</v>
      </c>
      <c r="M423" s="154" t="s">
        <v>597</v>
      </c>
      <c r="N423" s="154">
        <v>1</v>
      </c>
      <c r="O423" s="156">
        <f>N423*K423</f>
        <v>120</v>
      </c>
      <c r="P423" s="167">
        <v>42926</v>
      </c>
      <c r="Q423" s="154" t="s">
        <v>642</v>
      </c>
      <c r="R423" s="154"/>
      <c r="S423" s="154"/>
      <c r="T423" s="155" t="s">
        <v>601</v>
      </c>
    </row>
    <row r="424" spans="1:20" s="74" customFormat="1" x14ac:dyDescent="0.25">
      <c r="A424" s="134" t="s">
        <v>206</v>
      </c>
      <c r="B424" s="144" t="s">
        <v>417</v>
      </c>
      <c r="C424" s="134" t="s">
        <v>572</v>
      </c>
      <c r="D424" s="195">
        <v>280100</v>
      </c>
      <c r="E424" s="154" t="s">
        <v>576</v>
      </c>
      <c r="F424" s="154">
        <v>47</v>
      </c>
      <c r="G424" s="134" t="str">
        <f>VLOOKUP(F424,plan3!A$1:H$300,3,FALSE)</f>
        <v>PIPETA GRADUADA ESGOTAMENTO TOTAL 25 ML</v>
      </c>
      <c r="H424" s="155">
        <v>445</v>
      </c>
      <c r="I424" s="154">
        <v>1</v>
      </c>
      <c r="J424" s="158">
        <v>42894</v>
      </c>
      <c r="K424" s="147">
        <f>VLOOKUP(F424,plan3!A$1:H$300,8,FALSE)</f>
        <v>3.95</v>
      </c>
      <c r="L424" s="146">
        <v>42577</v>
      </c>
      <c r="M424" s="154" t="s">
        <v>600</v>
      </c>
      <c r="N424" s="154">
        <v>1</v>
      </c>
      <c r="O424" s="156">
        <f t="shared" ref="O424:O427" si="20">N424*K424</f>
        <v>3.95</v>
      </c>
      <c r="P424" s="167">
        <v>42933</v>
      </c>
      <c r="Q424" s="154" t="s">
        <v>635</v>
      </c>
      <c r="R424" s="154"/>
      <c r="S424" s="154"/>
      <c r="T424" s="155" t="s">
        <v>601</v>
      </c>
    </row>
    <row r="425" spans="1:20" s="74" customFormat="1" x14ac:dyDescent="0.25">
      <c r="A425" s="150" t="s">
        <v>206</v>
      </c>
      <c r="B425" s="150" t="s">
        <v>417</v>
      </c>
      <c r="C425" s="150" t="s">
        <v>572</v>
      </c>
      <c r="D425" s="195">
        <v>280100</v>
      </c>
      <c r="E425" s="154" t="s">
        <v>576</v>
      </c>
      <c r="F425" s="154">
        <v>50</v>
      </c>
      <c r="G425" s="134" t="str">
        <f>VLOOKUP(F425,plan3!A$1:H$300,3,FALSE)</f>
        <v>PIPETA GRADUADA VIDRO, CAPACIDADE 10 ML</v>
      </c>
      <c r="H425" s="155">
        <v>445</v>
      </c>
      <c r="I425" s="154">
        <v>1</v>
      </c>
      <c r="J425" s="158">
        <v>42894</v>
      </c>
      <c r="K425" s="147">
        <f>VLOOKUP(F425,plan3!A$1:H$300,8,FALSE)</f>
        <v>2.17</v>
      </c>
      <c r="L425" s="146">
        <v>42577</v>
      </c>
      <c r="M425" s="154" t="s">
        <v>600</v>
      </c>
      <c r="N425" s="154">
        <v>1</v>
      </c>
      <c r="O425" s="156">
        <f t="shared" si="20"/>
        <v>2.17</v>
      </c>
      <c r="P425" s="167">
        <v>42933</v>
      </c>
      <c r="Q425" s="154" t="s">
        <v>635</v>
      </c>
      <c r="R425" s="154"/>
      <c r="S425" s="154"/>
      <c r="T425" s="155" t="s">
        <v>601</v>
      </c>
    </row>
    <row r="426" spans="1:20" s="74" customFormat="1" ht="60" x14ac:dyDescent="0.25">
      <c r="A426" s="134" t="s">
        <v>206</v>
      </c>
      <c r="B426" s="144" t="s">
        <v>417</v>
      </c>
      <c r="C426" s="134" t="s">
        <v>572</v>
      </c>
      <c r="D426" s="195">
        <v>280100</v>
      </c>
      <c r="E426" s="154" t="s">
        <v>576</v>
      </c>
      <c r="F426" s="154">
        <v>60</v>
      </c>
      <c r="G426" s="134" t="str">
        <f>VLOOKUP(F426,plan3!A$1:H$300,3,FALSE)</f>
        <v>PIPETA MANUAL; MODELO VOLUMÉTRICA; CAPACIDADE 50 ML; MATERIAL VIDRO BOROSSILICATO; APLICAÇÃO USO LABORATORIAL; CARACTERÍSTICAS ADICIONAIS BOCAL E BICOS TEMPERADOS; GRAVAÇÃO PERMANENTE</v>
      </c>
      <c r="H426" s="155">
        <v>445</v>
      </c>
      <c r="I426" s="154">
        <v>1</v>
      </c>
      <c r="J426" s="158">
        <v>42894</v>
      </c>
      <c r="K426" s="147">
        <f>VLOOKUP(F426,plan3!A$1:H$300,8,FALSE)</f>
        <v>33.4</v>
      </c>
      <c r="L426" s="146">
        <v>42577</v>
      </c>
      <c r="M426" s="154" t="s">
        <v>596</v>
      </c>
      <c r="N426" s="154">
        <v>1</v>
      </c>
      <c r="O426" s="156">
        <f t="shared" si="20"/>
        <v>33.4</v>
      </c>
      <c r="P426" s="167">
        <v>42970</v>
      </c>
      <c r="Q426" s="154" t="s">
        <v>644</v>
      </c>
      <c r="R426" s="154"/>
      <c r="S426" s="154"/>
      <c r="T426" s="155" t="s">
        <v>601</v>
      </c>
    </row>
    <row r="427" spans="1:20" s="74" customFormat="1" x14ac:dyDescent="0.25">
      <c r="A427" s="144" t="s">
        <v>206</v>
      </c>
      <c r="B427" s="144" t="s">
        <v>417</v>
      </c>
      <c r="C427" s="144" t="s">
        <v>572</v>
      </c>
      <c r="D427" s="195">
        <v>280100</v>
      </c>
      <c r="E427" s="154" t="s">
        <v>576</v>
      </c>
      <c r="F427" s="154">
        <v>69</v>
      </c>
      <c r="G427" s="134" t="str">
        <f>VLOOKUP(F427,plan3!A$1:H$300,3,FALSE)</f>
        <v>PIPETA VOLUMÉTRICA ESGOTAMENTO TOTAL 5 ML</v>
      </c>
      <c r="H427" s="155">
        <v>445</v>
      </c>
      <c r="I427" s="154">
        <v>6</v>
      </c>
      <c r="J427" s="158">
        <v>42894</v>
      </c>
      <c r="K427" s="147">
        <f>VLOOKUP(F427,plan3!A$1:H$300,8,FALSE)</f>
        <v>4.32</v>
      </c>
      <c r="L427" s="146">
        <v>42577</v>
      </c>
      <c r="M427" s="154" t="s">
        <v>596</v>
      </c>
      <c r="N427" s="154">
        <v>6</v>
      </c>
      <c r="O427" s="156">
        <f t="shared" si="20"/>
        <v>25.92</v>
      </c>
      <c r="P427" s="167">
        <v>42970</v>
      </c>
      <c r="Q427" s="154" t="s">
        <v>644</v>
      </c>
      <c r="R427" s="154"/>
      <c r="S427" s="154"/>
      <c r="T427" s="155" t="s">
        <v>601</v>
      </c>
    </row>
    <row r="428" spans="1:20" s="74" customFormat="1" ht="60" x14ac:dyDescent="0.25">
      <c r="A428" s="134" t="s">
        <v>206</v>
      </c>
      <c r="B428" s="144" t="s">
        <v>417</v>
      </c>
      <c r="C428" s="134" t="s">
        <v>572</v>
      </c>
      <c r="D428" s="195">
        <v>280100</v>
      </c>
      <c r="E428" s="154" t="s">
        <v>576</v>
      </c>
      <c r="F428" s="154">
        <v>169</v>
      </c>
      <c r="G428" s="134" t="str">
        <f>VLOOKUP(F428,plan3!A$1:H$300,3,FALSE)</f>
        <v>PONTEIRA PARA PIPETA AUTOMÁTICA, TIPO PONTEIRAS PLÁSTICAS GILSON, SEM FILTRO, TRANSPARENTE, VOLUME 1-200L; LIVRE DE DNASE, RNASE E PIROGÊNIO. PACOTE COM 100 UND</v>
      </c>
      <c r="H428" s="155">
        <v>445</v>
      </c>
      <c r="I428" s="154">
        <v>1</v>
      </c>
      <c r="J428" s="158">
        <v>42894</v>
      </c>
      <c r="K428" s="147">
        <f>VLOOKUP(F428,plan3!A$1:H$300,8,FALSE)</f>
        <v>25</v>
      </c>
      <c r="L428" s="146">
        <v>42577</v>
      </c>
      <c r="M428" s="154" t="s">
        <v>594</v>
      </c>
      <c r="N428" s="154">
        <v>1</v>
      </c>
      <c r="O428" s="156">
        <f>N428*K428</f>
        <v>25</v>
      </c>
      <c r="P428" s="167">
        <v>42934</v>
      </c>
      <c r="Q428" s="154" t="s">
        <v>640</v>
      </c>
      <c r="R428" s="154"/>
      <c r="S428" s="154"/>
      <c r="T428" s="155" t="s">
        <v>601</v>
      </c>
    </row>
    <row r="429" spans="1:20" s="74" customFormat="1" ht="30" x14ac:dyDescent="0.25">
      <c r="A429" s="144" t="s">
        <v>206</v>
      </c>
      <c r="B429" s="144" t="s">
        <v>417</v>
      </c>
      <c r="C429" s="144" t="s">
        <v>572</v>
      </c>
      <c r="D429" s="195">
        <v>280100</v>
      </c>
      <c r="E429" s="154" t="s">
        <v>576</v>
      </c>
      <c r="F429" s="154">
        <v>125</v>
      </c>
      <c r="G429" s="134" t="str">
        <f>VLOOKUP(F429,plan3!A$1:H$300,3,FALSE)</f>
        <v>SUPORTE DE VIDRO PARA PIPETAS; SUPORTE GIRATÓRIO PARA PIPETAS DE VIDRO</v>
      </c>
      <c r="H429" s="155">
        <v>445</v>
      </c>
      <c r="I429" s="154">
        <v>1</v>
      </c>
      <c r="J429" s="158">
        <v>42894</v>
      </c>
      <c r="K429" s="147">
        <f>VLOOKUP(F429,plan3!A$1:H$300,8,FALSE)</f>
        <v>88.53</v>
      </c>
      <c r="L429" s="146">
        <v>42577</v>
      </c>
      <c r="M429" s="154" t="s">
        <v>596</v>
      </c>
      <c r="N429" s="154">
        <v>1</v>
      </c>
      <c r="O429" s="156">
        <f t="shared" ref="O429:O430" si="21">N429*K429</f>
        <v>88.53</v>
      </c>
      <c r="P429" s="167">
        <v>42970</v>
      </c>
      <c r="Q429" s="154" t="s">
        <v>644</v>
      </c>
      <c r="R429" s="154"/>
      <c r="S429" s="154"/>
      <c r="T429" s="155" t="s">
        <v>601</v>
      </c>
    </row>
    <row r="430" spans="1:20" s="74" customFormat="1" ht="30" x14ac:dyDescent="0.25">
      <c r="A430" s="134" t="s">
        <v>206</v>
      </c>
      <c r="B430" s="144" t="s">
        <v>417</v>
      </c>
      <c r="C430" s="134" t="s">
        <v>572</v>
      </c>
      <c r="D430" s="195">
        <v>280100</v>
      </c>
      <c r="E430" s="154" t="s">
        <v>576</v>
      </c>
      <c r="F430" s="154">
        <v>122</v>
      </c>
      <c r="G430" s="134" t="str">
        <f>VLOOKUP(F430,plan3!A$1:H$300,3,FALSE)</f>
        <v>SUPORTE PARA TUBOS DE ENSAIO, CAPACIDADE PARA 24 TUBOS</v>
      </c>
      <c r="H430" s="155">
        <v>445</v>
      </c>
      <c r="I430" s="154">
        <v>2</v>
      </c>
      <c r="J430" s="158">
        <v>42894</v>
      </c>
      <c r="K430" s="147">
        <f>VLOOKUP(F430,plan3!A$1:H$300,8,FALSE)</f>
        <v>21.65</v>
      </c>
      <c r="L430" s="146">
        <v>42577</v>
      </c>
      <c r="M430" s="154" t="s">
        <v>596</v>
      </c>
      <c r="N430" s="154">
        <v>2</v>
      </c>
      <c r="O430" s="156">
        <f t="shared" si="21"/>
        <v>43.3</v>
      </c>
      <c r="P430" s="167">
        <v>42970</v>
      </c>
      <c r="Q430" s="154" t="s">
        <v>644</v>
      </c>
      <c r="R430" s="154"/>
      <c r="S430" s="154"/>
      <c r="T430" s="155" t="s">
        <v>601</v>
      </c>
    </row>
    <row r="431" spans="1:20" ht="30" x14ac:dyDescent="0.25">
      <c r="A431" s="144" t="s">
        <v>206</v>
      </c>
      <c r="B431" s="144" t="s">
        <v>417</v>
      </c>
      <c r="C431" s="144" t="s">
        <v>572</v>
      </c>
      <c r="D431" s="195">
        <v>280100</v>
      </c>
      <c r="E431" s="154" t="s">
        <v>576</v>
      </c>
      <c r="F431" s="154">
        <v>128</v>
      </c>
      <c r="G431" s="134" t="str">
        <f>VLOOKUP(F431,plan3!A$1:H$300,3,FALSE)</f>
        <v>TERMÔMETRO PARA USO GERAL, ESCALA INTERNA, - 10 +150 C SEM TEFLON</v>
      </c>
      <c r="H431" s="155">
        <v>445</v>
      </c>
      <c r="I431" s="154">
        <v>1</v>
      </c>
      <c r="J431" s="158">
        <v>42894</v>
      </c>
      <c r="K431" s="147">
        <f>VLOOKUP(F431,plan3!A$1:H$300,8,FALSE)</f>
        <v>34.19</v>
      </c>
      <c r="L431" s="146">
        <v>42577</v>
      </c>
      <c r="M431" s="154" t="s">
        <v>590</v>
      </c>
      <c r="N431" s="154">
        <v>1</v>
      </c>
      <c r="O431" s="156">
        <f>N431*K431</f>
        <v>34.19</v>
      </c>
      <c r="P431" s="167">
        <v>42954</v>
      </c>
      <c r="Q431" s="154" t="s">
        <v>639</v>
      </c>
      <c r="R431" s="154"/>
      <c r="S431" s="154"/>
      <c r="T431" s="155" t="s">
        <v>601</v>
      </c>
    </row>
    <row r="432" spans="1:20" ht="30" x14ac:dyDescent="0.25">
      <c r="A432" s="134" t="s">
        <v>206</v>
      </c>
      <c r="B432" s="144" t="s">
        <v>417</v>
      </c>
      <c r="C432" s="134" t="s">
        <v>572</v>
      </c>
      <c r="D432" s="195">
        <v>280100</v>
      </c>
      <c r="E432" s="154" t="s">
        <v>576</v>
      </c>
      <c r="F432" s="154">
        <v>141</v>
      </c>
      <c r="G432" s="134" t="str">
        <f>VLOOKUP(F432,plan3!A$1:H$300,3,FALSE)</f>
        <v>TUBO DE ENSAIO TAMANHO 12 X 75 - 5 ML, PACOTE COM 1000 UNIDADES</v>
      </c>
      <c r="H432" s="155">
        <v>445</v>
      </c>
      <c r="I432" s="154">
        <v>1</v>
      </c>
      <c r="J432" s="158">
        <v>42894</v>
      </c>
      <c r="K432" s="147">
        <f>VLOOKUP(F432,plan3!A$1:H$300,8,FALSE)</f>
        <v>7.0000000000000007E-2</v>
      </c>
      <c r="L432" s="146">
        <v>42577</v>
      </c>
      <c r="M432" s="154"/>
      <c r="N432" s="154"/>
      <c r="O432" s="156"/>
      <c r="P432" s="154"/>
      <c r="Q432" s="154"/>
      <c r="R432" s="154"/>
      <c r="S432" s="154"/>
      <c r="T432" s="155"/>
    </row>
    <row r="433" spans="1:20" ht="45" x14ac:dyDescent="0.25">
      <c r="A433" s="144" t="s">
        <v>206</v>
      </c>
      <c r="B433" s="144" t="s">
        <v>417</v>
      </c>
      <c r="C433" s="144" t="s">
        <v>572</v>
      </c>
      <c r="D433" s="195">
        <v>280100</v>
      </c>
      <c r="E433" s="154" t="s">
        <v>576</v>
      </c>
      <c r="F433" s="154">
        <v>170</v>
      </c>
      <c r="G433" s="134" t="str">
        <f>VLOOKUP(F433,plan3!A$1:H$300,3,FALSE)</f>
        <v>TUBOS COM VÁCUO PARA COLETA DE SANGUE, TIPO VACUTAINER K2 COM ANTICOAGULANTE EDTA(K2E). REF 367861.</v>
      </c>
      <c r="H433" s="155">
        <v>445</v>
      </c>
      <c r="I433" s="154">
        <v>400</v>
      </c>
      <c r="J433" s="158">
        <v>42894</v>
      </c>
      <c r="K433" s="147">
        <f>VLOOKUP(F433,plan3!A$1:H$300,8,FALSE)</f>
        <v>0.5</v>
      </c>
      <c r="L433" s="146">
        <v>42577</v>
      </c>
      <c r="M433" s="154" t="s">
        <v>591</v>
      </c>
      <c r="N433" s="154">
        <v>400</v>
      </c>
      <c r="O433" s="156">
        <f t="shared" ref="O433:O435" si="22">N433*K433</f>
        <v>200</v>
      </c>
      <c r="P433" s="167">
        <v>42940</v>
      </c>
      <c r="Q433" s="154" t="s">
        <v>637</v>
      </c>
      <c r="R433" s="154"/>
      <c r="S433" s="154"/>
      <c r="T433" s="155" t="s">
        <v>601</v>
      </c>
    </row>
    <row r="434" spans="1:20" ht="30" x14ac:dyDescent="0.25">
      <c r="A434" s="134" t="s">
        <v>206</v>
      </c>
      <c r="B434" s="144" t="s">
        <v>417</v>
      </c>
      <c r="C434" s="134" t="s">
        <v>572</v>
      </c>
      <c r="D434" s="195">
        <v>280100</v>
      </c>
      <c r="E434" s="154" t="s">
        <v>576</v>
      </c>
      <c r="F434" s="154">
        <v>146</v>
      </c>
      <c r="G434" s="134" t="str">
        <f>VLOOKUP(F434,plan3!A$1:H$300,3,FALSE)</f>
        <v>TUBOS DE MICROCENTRÍFUGA; TIPO EPPENDORF; COM CAPACIDADE DE 1,5ML PACOTE COM 1000</v>
      </c>
      <c r="H434" s="155">
        <v>445</v>
      </c>
      <c r="I434" s="154">
        <v>3</v>
      </c>
      <c r="J434" s="158">
        <v>42894</v>
      </c>
      <c r="K434" s="147">
        <f>VLOOKUP(F434,plan3!A$1:H$300,8,FALSE)</f>
        <v>69.14</v>
      </c>
      <c r="L434" s="146">
        <v>42577</v>
      </c>
      <c r="M434" s="154" t="s">
        <v>591</v>
      </c>
      <c r="N434" s="154">
        <v>3</v>
      </c>
      <c r="O434" s="156">
        <f t="shared" si="22"/>
        <v>207.42000000000002</v>
      </c>
      <c r="P434" s="167">
        <v>42940</v>
      </c>
      <c r="Q434" s="154" t="s">
        <v>637</v>
      </c>
      <c r="R434" s="154"/>
      <c r="S434" s="154"/>
      <c r="T434" s="155" t="s">
        <v>601</v>
      </c>
    </row>
    <row r="435" spans="1:20" ht="60" x14ac:dyDescent="0.25">
      <c r="A435" s="150" t="s">
        <v>206</v>
      </c>
      <c r="B435" s="150" t="s">
        <v>417</v>
      </c>
      <c r="C435" s="150" t="s">
        <v>572</v>
      </c>
      <c r="D435" s="195">
        <v>280300</v>
      </c>
      <c r="E435" s="155" t="s">
        <v>577</v>
      </c>
      <c r="F435" s="154">
        <v>155</v>
      </c>
      <c r="G435" s="134" t="str">
        <f>VLOOKUP(F435,plan3!A$1:H$300,3,FALSE)</f>
        <v>CAIXA DE FIBRA DE PAPELÃO COM TAMPA F GRADE DIVISÓRIA PARA ARMAZENAMENTO DE MICROTUBOS (TIPO EPPENDORF) E TUBO CRIOGÊNICO P/ 100 TUBOS CAP 1.5 / 2.0ML</v>
      </c>
      <c r="H435" s="155">
        <v>406</v>
      </c>
      <c r="I435" s="154">
        <v>6</v>
      </c>
      <c r="J435" s="158">
        <v>42893</v>
      </c>
      <c r="K435" s="147">
        <f>VLOOKUP(F435,plan3!A$1:H$300,8,FALSE)</f>
        <v>4.93</v>
      </c>
      <c r="L435" s="146">
        <v>42577</v>
      </c>
      <c r="M435" s="154" t="s">
        <v>591</v>
      </c>
      <c r="N435" s="154">
        <v>6</v>
      </c>
      <c r="O435" s="156">
        <f t="shared" si="22"/>
        <v>29.58</v>
      </c>
      <c r="P435" s="171">
        <v>42940</v>
      </c>
      <c r="Q435" s="154" t="s">
        <v>637</v>
      </c>
      <c r="R435" s="154"/>
      <c r="S435" s="154"/>
      <c r="T435" s="155" t="s">
        <v>601</v>
      </c>
    </row>
    <row r="436" spans="1:20" ht="30" x14ac:dyDescent="0.25">
      <c r="A436" s="134" t="s">
        <v>206</v>
      </c>
      <c r="B436" s="144" t="s">
        <v>417</v>
      </c>
      <c r="C436" s="134" t="s">
        <v>572</v>
      </c>
      <c r="D436" s="195">
        <v>280300</v>
      </c>
      <c r="E436" s="155" t="s">
        <v>577</v>
      </c>
      <c r="F436" s="154">
        <v>161</v>
      </c>
      <c r="G436" s="134" t="str">
        <f>VLOOKUP(F436,plan3!A$1:H$300,3,FALSE)</f>
        <v>FRASCO REAGENTE EM VIDRO CAPACIDADE 1000ML COM TAMPA</v>
      </c>
      <c r="H436" s="155">
        <v>406</v>
      </c>
      <c r="I436" s="154">
        <v>2</v>
      </c>
      <c r="J436" s="158">
        <v>42893</v>
      </c>
      <c r="K436" s="147">
        <f>VLOOKUP(F436,plan3!A$1:H$300,8,FALSE)</f>
        <v>15</v>
      </c>
      <c r="L436" s="146">
        <v>42577</v>
      </c>
      <c r="M436" s="154" t="s">
        <v>593</v>
      </c>
      <c r="N436" s="154">
        <v>2</v>
      </c>
      <c r="O436" s="156">
        <f>K436*N436</f>
        <v>30</v>
      </c>
      <c r="P436" s="169">
        <v>42933</v>
      </c>
      <c r="Q436" s="193" t="s">
        <v>631</v>
      </c>
      <c r="R436" s="154"/>
      <c r="S436" s="154"/>
      <c r="T436" s="155" t="s">
        <v>601</v>
      </c>
    </row>
    <row r="437" spans="1:20" ht="30" x14ac:dyDescent="0.25">
      <c r="A437" s="144" t="s">
        <v>206</v>
      </c>
      <c r="B437" s="144" t="s">
        <v>417</v>
      </c>
      <c r="C437" s="144" t="s">
        <v>572</v>
      </c>
      <c r="D437" s="195">
        <v>280300</v>
      </c>
      <c r="E437" s="155" t="s">
        <v>577</v>
      </c>
      <c r="F437" s="154">
        <v>162</v>
      </c>
      <c r="G437" s="134" t="str">
        <f>VLOOKUP(F437,plan3!A$1:H$300,3,FALSE)</f>
        <v>FRASCO REAGENTE EM VIDRO CAPACIDADE 125ML COM TAMPA</v>
      </c>
      <c r="H437" s="155">
        <v>406</v>
      </c>
      <c r="I437" s="154">
        <v>2</v>
      </c>
      <c r="J437" s="158">
        <v>42893</v>
      </c>
      <c r="K437" s="147">
        <f>VLOOKUP(F437,plan3!A$1:H$300,8,FALSE)</f>
        <v>12</v>
      </c>
      <c r="L437" s="146">
        <v>42577</v>
      </c>
      <c r="M437" s="154" t="s">
        <v>593</v>
      </c>
      <c r="N437" s="154">
        <v>2</v>
      </c>
      <c r="O437" s="156">
        <f>K437*N437</f>
        <v>24</v>
      </c>
      <c r="P437" s="169">
        <v>42933</v>
      </c>
      <c r="Q437" s="193" t="s">
        <v>631</v>
      </c>
      <c r="R437" s="154"/>
      <c r="S437" s="154"/>
      <c r="T437" s="155" t="s">
        <v>601</v>
      </c>
    </row>
    <row r="438" spans="1:20" ht="45" x14ac:dyDescent="0.25">
      <c r="A438" s="134" t="s">
        <v>206</v>
      </c>
      <c r="B438" s="144" t="s">
        <v>417</v>
      </c>
      <c r="C438" s="134" t="s">
        <v>572</v>
      </c>
      <c r="D438" s="195">
        <v>280300</v>
      </c>
      <c r="E438" s="155" t="s">
        <v>577</v>
      </c>
      <c r="F438" s="154">
        <v>5</v>
      </c>
      <c r="G438" s="134" t="str">
        <f>VLOOKUP(F438,plan3!A$1:H$300,3,FALSE)</f>
        <v>LÂMINA LABORATÓRIO, MATERIAL VIDRO, DIMENSÕES CERCA DE 75 X 25 MM, TIPO* LAPIDADA, TIPO BORDA BORDA FOSCA</v>
      </c>
      <c r="H438" s="155">
        <v>406</v>
      </c>
      <c r="I438" s="154">
        <v>1</v>
      </c>
      <c r="J438" s="158">
        <v>42893</v>
      </c>
      <c r="K438" s="147">
        <f>VLOOKUP(F438,plan3!A$1:H$300,8,FALSE)</f>
        <v>3.2</v>
      </c>
      <c r="L438" s="146">
        <v>42577</v>
      </c>
      <c r="M438" s="154" t="s">
        <v>598</v>
      </c>
      <c r="N438" s="154">
        <v>1</v>
      </c>
      <c r="O438" s="156">
        <f>N438*K438</f>
        <v>3.2</v>
      </c>
      <c r="P438" s="169" t="s">
        <v>643</v>
      </c>
      <c r="Q438" s="154"/>
      <c r="R438" s="154"/>
      <c r="S438" s="154"/>
      <c r="T438" s="155" t="s">
        <v>647</v>
      </c>
    </row>
    <row r="439" spans="1:20" ht="60" x14ac:dyDescent="0.25">
      <c r="A439" s="144" t="s">
        <v>206</v>
      </c>
      <c r="B439" s="144" t="s">
        <v>417</v>
      </c>
      <c r="C439" s="144" t="s">
        <v>572</v>
      </c>
      <c r="D439" s="195">
        <v>280300</v>
      </c>
      <c r="E439" s="155" t="s">
        <v>577</v>
      </c>
      <c r="F439" s="154">
        <v>169</v>
      </c>
      <c r="G439" s="134" t="str">
        <f>VLOOKUP(F439,plan3!A$1:H$300,3,FALSE)</f>
        <v>PONTEIRA PARA PIPETA AUTOMÁTICA, TIPO PONTEIRAS PLÁSTICAS GILSON, SEM FILTRO, TRANSPARENTE, VOLUME 1-200L; LIVRE DE DNASE, RNASE E PIROGÊNIO. PACOTE COM 100 UND</v>
      </c>
      <c r="H439" s="155">
        <v>406</v>
      </c>
      <c r="I439" s="154">
        <v>1</v>
      </c>
      <c r="J439" s="158">
        <v>42893</v>
      </c>
      <c r="K439" s="147">
        <f>VLOOKUP(F439,plan3!A$1:H$300,8,FALSE)</f>
        <v>25</v>
      </c>
      <c r="L439" s="146">
        <v>42577</v>
      </c>
      <c r="M439" s="154" t="s">
        <v>594</v>
      </c>
      <c r="N439" s="154">
        <v>1</v>
      </c>
      <c r="O439" s="156">
        <f>N439*K439</f>
        <v>25</v>
      </c>
      <c r="P439" s="167">
        <v>42934</v>
      </c>
      <c r="Q439" s="154" t="s">
        <v>640</v>
      </c>
      <c r="R439" s="154"/>
      <c r="S439" s="154"/>
      <c r="T439" s="155" t="s">
        <v>601</v>
      </c>
    </row>
    <row r="440" spans="1:20" ht="30" x14ac:dyDescent="0.25">
      <c r="A440" s="134" t="s">
        <v>206</v>
      </c>
      <c r="B440" s="144" t="s">
        <v>417</v>
      </c>
      <c r="C440" s="134" t="s">
        <v>572</v>
      </c>
      <c r="D440" s="195">
        <v>280300</v>
      </c>
      <c r="E440" s="155" t="s">
        <v>577</v>
      </c>
      <c r="F440" s="154">
        <v>122</v>
      </c>
      <c r="G440" s="134" t="str">
        <f>VLOOKUP(F440,plan3!A$1:H$300,3,FALSE)</f>
        <v>SUPORTE PARA TUBOS DE ENSAIO, CAPACIDADE PARA 24 TUBOS</v>
      </c>
      <c r="H440" s="155">
        <v>406</v>
      </c>
      <c r="I440" s="154">
        <v>1</v>
      </c>
      <c r="J440" s="158">
        <v>42893</v>
      </c>
      <c r="K440" s="147">
        <f>VLOOKUP(F440,plan3!A$1:H$300,8,FALSE)</f>
        <v>21.65</v>
      </c>
      <c r="L440" s="146">
        <v>42577</v>
      </c>
      <c r="M440" s="154" t="s">
        <v>596</v>
      </c>
      <c r="N440" s="154">
        <v>1</v>
      </c>
      <c r="O440" s="156">
        <f>N440*K440</f>
        <v>21.65</v>
      </c>
      <c r="P440" s="167">
        <v>42970</v>
      </c>
      <c r="Q440" s="154" t="s">
        <v>644</v>
      </c>
      <c r="R440" s="154"/>
      <c r="S440" s="154"/>
      <c r="T440" s="155" t="s">
        <v>601</v>
      </c>
    </row>
    <row r="441" spans="1:20" ht="30" x14ac:dyDescent="0.25">
      <c r="A441" s="144" t="s">
        <v>206</v>
      </c>
      <c r="B441" s="144" t="s">
        <v>417</v>
      </c>
      <c r="C441" s="144" t="s">
        <v>572</v>
      </c>
      <c r="D441" s="195">
        <v>280300</v>
      </c>
      <c r="E441" s="155" t="s">
        <v>577</v>
      </c>
      <c r="F441" s="154">
        <v>141</v>
      </c>
      <c r="G441" s="134" t="str">
        <f>VLOOKUP(F441,plan3!A$1:H$300,3,FALSE)</f>
        <v>TUBO DE ENSAIO TAMANHO 12 X 75 - 5 ML, PACOTE COM 1000 UNIDADES</v>
      </c>
      <c r="H441" s="155">
        <v>406</v>
      </c>
      <c r="I441" s="154">
        <v>1</v>
      </c>
      <c r="J441" s="158">
        <v>42893</v>
      </c>
      <c r="K441" s="147">
        <f>VLOOKUP(F441,plan3!A$1:H$300,8,FALSE)</f>
        <v>7.0000000000000007E-2</v>
      </c>
      <c r="L441" s="146">
        <v>42577</v>
      </c>
      <c r="M441" s="154"/>
      <c r="N441" s="154"/>
      <c r="O441" s="156"/>
      <c r="P441" s="154"/>
      <c r="Q441" s="154"/>
      <c r="R441" s="154"/>
      <c r="S441" s="154"/>
      <c r="T441" s="155"/>
    </row>
    <row r="442" spans="1:20" ht="30" x14ac:dyDescent="0.25">
      <c r="A442" s="134" t="s">
        <v>206</v>
      </c>
      <c r="B442" s="144" t="s">
        <v>417</v>
      </c>
      <c r="C442" s="134" t="s">
        <v>572</v>
      </c>
      <c r="D442" s="195">
        <v>280300</v>
      </c>
      <c r="E442" s="155" t="s">
        <v>577</v>
      </c>
      <c r="F442" s="154">
        <v>146</v>
      </c>
      <c r="G442" s="134" t="str">
        <f>VLOOKUP(F442,plan3!A$1:H$300,3,FALSE)</f>
        <v>TUBOS DE MICROCENTRÍFUGA; TIPO EPPENDORF; COM CAPACIDADE DE 1,5ML PACOTE COM 1000</v>
      </c>
      <c r="H442" s="155">
        <v>406</v>
      </c>
      <c r="I442" s="154">
        <v>1</v>
      </c>
      <c r="J442" s="158">
        <v>42893</v>
      </c>
      <c r="K442" s="147">
        <f>VLOOKUP(F442,plan3!A$1:H$300,8,FALSE)</f>
        <v>69.14</v>
      </c>
      <c r="L442" s="146">
        <v>42577</v>
      </c>
      <c r="M442" s="154" t="s">
        <v>591</v>
      </c>
      <c r="N442" s="154">
        <v>1</v>
      </c>
      <c r="O442" s="156">
        <f>N442*K442</f>
        <v>69.14</v>
      </c>
      <c r="P442" s="171">
        <v>42940</v>
      </c>
      <c r="Q442" s="154" t="s">
        <v>637</v>
      </c>
      <c r="R442" s="154"/>
      <c r="S442" s="154"/>
      <c r="T442" s="155" t="s">
        <v>601</v>
      </c>
    </row>
    <row r="443" spans="1:20" ht="30" x14ac:dyDescent="0.25">
      <c r="A443" s="144" t="s">
        <v>206</v>
      </c>
      <c r="B443" s="144" t="s">
        <v>417</v>
      </c>
      <c r="C443" s="144" t="s">
        <v>572</v>
      </c>
      <c r="D443" s="195">
        <v>290000</v>
      </c>
      <c r="E443" s="154" t="s">
        <v>203</v>
      </c>
      <c r="F443" s="154">
        <v>161</v>
      </c>
      <c r="G443" s="134" t="str">
        <f>VLOOKUP(F443,plan3!A$1:H$300,3,FALSE)</f>
        <v>FRASCO REAGENTE EM VIDRO CAPACIDADE 1000ML COM TAMPA</v>
      </c>
      <c r="H443" s="155">
        <v>425</v>
      </c>
      <c r="I443" s="154">
        <v>10</v>
      </c>
      <c r="J443" s="158">
        <v>42894</v>
      </c>
      <c r="K443" s="147">
        <f>VLOOKUP(F443,plan3!A$1:H$300,8,FALSE)</f>
        <v>15</v>
      </c>
      <c r="L443" s="146">
        <v>42577</v>
      </c>
      <c r="M443" s="154" t="s">
        <v>593</v>
      </c>
      <c r="N443" s="154">
        <v>10</v>
      </c>
      <c r="O443" s="156">
        <f>K443*N443</f>
        <v>150</v>
      </c>
      <c r="P443" s="169">
        <v>42933</v>
      </c>
      <c r="Q443" s="193" t="s">
        <v>631</v>
      </c>
      <c r="R443" s="154"/>
      <c r="S443" s="154"/>
      <c r="T443" s="155" t="s">
        <v>601</v>
      </c>
    </row>
    <row r="444" spans="1:20" ht="30" x14ac:dyDescent="0.25">
      <c r="A444" s="134" t="s">
        <v>206</v>
      </c>
      <c r="B444" s="144" t="s">
        <v>417</v>
      </c>
      <c r="C444" s="134" t="s">
        <v>572</v>
      </c>
      <c r="D444" s="195">
        <v>290000</v>
      </c>
      <c r="E444" s="154" t="s">
        <v>203</v>
      </c>
      <c r="F444" s="154">
        <v>162</v>
      </c>
      <c r="G444" s="134" t="str">
        <f>VLOOKUP(F444,plan3!A$1:H$300,3,FALSE)</f>
        <v>FRASCO REAGENTE EM VIDRO CAPACIDADE 125ML COM TAMPA</v>
      </c>
      <c r="H444" s="155">
        <v>425</v>
      </c>
      <c r="I444" s="154">
        <v>10</v>
      </c>
      <c r="J444" s="158">
        <v>42894</v>
      </c>
      <c r="K444" s="147">
        <f>VLOOKUP(F444,plan3!A$1:H$300,8,FALSE)</f>
        <v>12</v>
      </c>
      <c r="L444" s="146">
        <v>42577</v>
      </c>
      <c r="M444" s="154" t="s">
        <v>593</v>
      </c>
      <c r="N444" s="154">
        <v>10</v>
      </c>
      <c r="O444" s="156">
        <f>K444*N444</f>
        <v>120</v>
      </c>
      <c r="P444" s="169">
        <v>42933</v>
      </c>
      <c r="Q444" s="193" t="s">
        <v>631</v>
      </c>
      <c r="R444" s="154"/>
      <c r="S444" s="154"/>
      <c r="T444" s="155" t="s">
        <v>601</v>
      </c>
    </row>
    <row r="445" spans="1:20" ht="195" x14ac:dyDescent="0.25">
      <c r="A445" s="150" t="s">
        <v>206</v>
      </c>
      <c r="B445" s="150" t="s">
        <v>417</v>
      </c>
      <c r="C445" s="150" t="s">
        <v>572</v>
      </c>
      <c r="D445" s="195">
        <v>290000</v>
      </c>
      <c r="E445" s="154" t="s">
        <v>203</v>
      </c>
      <c r="F445" s="154">
        <v>13</v>
      </c>
      <c r="G445" s="134" t="str">
        <f>VLOOKUP(F445,plan3!A$1:H$300,3,FALSE)</f>
        <v>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DESMONTÁVEL PARA QUE POSSA SER AUTOCLAVADA E/OU ESTERILIZADA; CALIBRADA ORIGINALMENTE DO FABRICANTE</v>
      </c>
      <c r="H445" s="155">
        <v>425</v>
      </c>
      <c r="I445" s="154">
        <v>3</v>
      </c>
      <c r="J445" s="158">
        <v>42894</v>
      </c>
      <c r="K445" s="147">
        <f>VLOOKUP(F445,plan3!A$1:H$300,8,FALSE)</f>
        <v>296.99</v>
      </c>
      <c r="L445" s="146">
        <v>42577</v>
      </c>
      <c r="M445" s="154" t="s">
        <v>599</v>
      </c>
      <c r="N445" s="154">
        <v>2</v>
      </c>
      <c r="O445" s="156">
        <f>N445*K445</f>
        <v>593.98</v>
      </c>
      <c r="P445" s="167">
        <v>42942</v>
      </c>
      <c r="Q445" s="154" t="s">
        <v>634</v>
      </c>
      <c r="R445" s="154"/>
      <c r="S445" s="154"/>
      <c r="T445" s="155" t="s">
        <v>601</v>
      </c>
    </row>
    <row r="446" spans="1:20" ht="60" x14ac:dyDescent="0.25">
      <c r="A446" s="134" t="s">
        <v>206</v>
      </c>
      <c r="B446" s="144" t="s">
        <v>417</v>
      </c>
      <c r="C446" s="134" t="s">
        <v>572</v>
      </c>
      <c r="D446" s="195">
        <v>290000</v>
      </c>
      <c r="E446" s="154" t="s">
        <v>203</v>
      </c>
      <c r="F446" s="154">
        <v>169</v>
      </c>
      <c r="G446" s="134" t="str">
        <f>VLOOKUP(F446,plan3!A$1:H$300,3,FALSE)</f>
        <v>PONTEIRA PARA PIPETA AUTOMÁTICA, TIPO PONTEIRAS PLÁSTICAS GILSON, SEM FILTRO, TRANSPARENTE, VOLUME 1-200L; LIVRE DE DNASE, RNASE E PIROGÊNIO. PACOTE COM 100 UND</v>
      </c>
      <c r="H446" s="155">
        <v>425</v>
      </c>
      <c r="I446" s="154">
        <v>3</v>
      </c>
      <c r="J446" s="158">
        <v>42894</v>
      </c>
      <c r="K446" s="147">
        <f>VLOOKUP(F446,plan3!A$1:H$300,8,FALSE)</f>
        <v>25</v>
      </c>
      <c r="L446" s="146">
        <v>42577</v>
      </c>
      <c r="M446" s="154" t="s">
        <v>594</v>
      </c>
      <c r="N446" s="154">
        <v>3</v>
      </c>
      <c r="O446" s="156">
        <f>N446*K446</f>
        <v>75</v>
      </c>
      <c r="P446" s="167">
        <v>42934</v>
      </c>
      <c r="Q446" s="154" t="s">
        <v>640</v>
      </c>
      <c r="R446" s="154"/>
      <c r="S446" s="154"/>
      <c r="T446" s="155" t="s">
        <v>601</v>
      </c>
    </row>
    <row r="447" spans="1:20" ht="30" x14ac:dyDescent="0.25">
      <c r="A447" s="144" t="s">
        <v>206</v>
      </c>
      <c r="B447" s="144" t="s">
        <v>417</v>
      </c>
      <c r="C447" s="144" t="s">
        <v>572</v>
      </c>
      <c r="D447" s="195">
        <v>290000</v>
      </c>
      <c r="E447" s="154" t="s">
        <v>203</v>
      </c>
      <c r="F447" s="154">
        <v>90</v>
      </c>
      <c r="G447" s="134" t="str">
        <f>VLOOKUP(F447,plan3!A$1:H$300,3,FALSE)</f>
        <v>PROVETA EM VIDRO GRADUADA COM BASE SEXTAVADA DE POLIETILENO CAPACIDADE 100 ML</v>
      </c>
      <c r="H447" s="155">
        <v>425</v>
      </c>
      <c r="I447" s="154">
        <v>10</v>
      </c>
      <c r="J447" s="158">
        <v>42894</v>
      </c>
      <c r="K447" s="147">
        <f>VLOOKUP(F447,plan3!A$1:H$300,8,FALSE)</f>
        <v>3.35</v>
      </c>
      <c r="L447" s="146">
        <v>42577</v>
      </c>
      <c r="M447" s="154" t="s">
        <v>589</v>
      </c>
      <c r="N447" s="154">
        <v>10</v>
      </c>
      <c r="O447" s="156">
        <f t="shared" ref="O447:O448" si="23">N447*K447</f>
        <v>33.5</v>
      </c>
      <c r="P447" s="169">
        <v>42976</v>
      </c>
      <c r="Q447" s="193" t="s">
        <v>638</v>
      </c>
      <c r="R447" s="154"/>
      <c r="S447" s="154"/>
      <c r="T447" s="155" t="s">
        <v>601</v>
      </c>
    </row>
    <row r="448" spans="1:20" ht="30" x14ac:dyDescent="0.25">
      <c r="A448" s="134" t="s">
        <v>206</v>
      </c>
      <c r="B448" s="144" t="s">
        <v>417</v>
      </c>
      <c r="C448" s="134" t="s">
        <v>572</v>
      </c>
      <c r="D448" s="195">
        <v>290000</v>
      </c>
      <c r="E448" s="154" t="s">
        <v>203</v>
      </c>
      <c r="F448" s="154">
        <v>92</v>
      </c>
      <c r="G448" s="134" t="str">
        <f>VLOOKUP(F448,plan3!A$1:H$300,3,FALSE)</f>
        <v>PROVETA EM VIDRO GRADUADA COM BASE SEXTAVADA DE POLIETILENO CAPACIDADE 50 ML</v>
      </c>
      <c r="H448" s="155">
        <v>425</v>
      </c>
      <c r="I448" s="154">
        <v>10</v>
      </c>
      <c r="J448" s="158">
        <v>42894</v>
      </c>
      <c r="K448" s="147">
        <f>VLOOKUP(F448,plan3!A$1:H$300,8,FALSE)</f>
        <v>5.12</v>
      </c>
      <c r="L448" s="146">
        <v>42577</v>
      </c>
      <c r="M448" s="154" t="s">
        <v>589</v>
      </c>
      <c r="N448" s="154">
        <v>10</v>
      </c>
      <c r="O448" s="156">
        <f t="shared" si="23"/>
        <v>51.2</v>
      </c>
      <c r="P448" s="169">
        <v>42976</v>
      </c>
      <c r="Q448" s="193" t="s">
        <v>638</v>
      </c>
      <c r="R448" s="154"/>
      <c r="S448" s="154"/>
      <c r="T448" s="155" t="s">
        <v>601</v>
      </c>
    </row>
    <row r="449" spans="1:20" ht="75" x14ac:dyDescent="0.25">
      <c r="A449" s="144" t="s">
        <v>206</v>
      </c>
      <c r="B449" s="144" t="s">
        <v>417</v>
      </c>
      <c r="C449" s="144" t="s">
        <v>572</v>
      </c>
      <c r="D449" s="195">
        <v>290000</v>
      </c>
      <c r="E449" s="154" t="s">
        <v>203</v>
      </c>
      <c r="F449" s="154">
        <v>118</v>
      </c>
      <c r="G449" s="134" t="str">
        <f>VLOOKUP(F449,plan3!A$1:H$300,3,FALSE)</f>
        <v>SISTEMA FILTRAÇÃO, COMPONENTES BASE/FUNIL/GARRA E FRASCO, MATERIAL FUNIL VIDRO BOROSSILICATO, MATERIAL GARRA ALUMÍNIO ANODIZADO, DIÂMETRO FILTRO 47, CAPACIDADE FUNIL 300, CARACTERÍSTICAS ADICIONAIS FRASCO 1 LITRO TIPO ERLENMEYER</v>
      </c>
      <c r="H449" s="155">
        <v>425</v>
      </c>
      <c r="I449" s="154">
        <v>1</v>
      </c>
      <c r="J449" s="158">
        <v>42894</v>
      </c>
      <c r="K449" s="147">
        <f>VLOOKUP(F449,plan3!A$1:H$300,8,FALSE)</f>
        <v>525.98</v>
      </c>
      <c r="L449" s="146">
        <v>42577</v>
      </c>
      <c r="M449" s="154" t="s">
        <v>595</v>
      </c>
      <c r="N449" s="154">
        <v>1</v>
      </c>
      <c r="O449" s="156">
        <f>N449*K449</f>
        <v>525.98</v>
      </c>
      <c r="P449" s="167">
        <v>42940</v>
      </c>
      <c r="Q449" s="154" t="s">
        <v>641</v>
      </c>
      <c r="R449" s="154"/>
      <c r="S449" s="154"/>
      <c r="T449" s="155" t="s">
        <v>601</v>
      </c>
    </row>
    <row r="450" spans="1:20" ht="30" x14ac:dyDescent="0.25">
      <c r="A450" s="134" t="s">
        <v>206</v>
      </c>
      <c r="B450" s="144" t="s">
        <v>417</v>
      </c>
      <c r="C450" s="134" t="s">
        <v>572</v>
      </c>
      <c r="D450" s="195">
        <v>290000</v>
      </c>
      <c r="E450" s="154" t="s">
        <v>203</v>
      </c>
      <c r="F450" s="154">
        <v>125</v>
      </c>
      <c r="G450" s="134" t="str">
        <f>VLOOKUP(F450,plan3!A$1:H$300,3,FALSE)</f>
        <v>SUPORTE DE VIDRO PARA PIPETAS; SUPORTE GIRATÓRIO PARA PIPETAS DE VIDRO</v>
      </c>
      <c r="H450" s="155">
        <v>425</v>
      </c>
      <c r="I450" s="154">
        <v>2</v>
      </c>
      <c r="J450" s="158">
        <v>42894</v>
      </c>
      <c r="K450" s="147">
        <f>VLOOKUP(F450,plan3!A$1:H$300,8,FALSE)</f>
        <v>88.53</v>
      </c>
      <c r="L450" s="146">
        <v>42577</v>
      </c>
      <c r="M450" s="154" t="s">
        <v>596</v>
      </c>
      <c r="N450" s="154">
        <v>1</v>
      </c>
      <c r="O450" s="156">
        <f t="shared" ref="O450:O452" si="24">N450*K450</f>
        <v>88.53</v>
      </c>
      <c r="P450" s="167">
        <v>42970</v>
      </c>
      <c r="Q450" s="154" t="s">
        <v>644</v>
      </c>
      <c r="R450" s="154"/>
      <c r="S450" s="154"/>
      <c r="T450" s="155" t="s">
        <v>601</v>
      </c>
    </row>
    <row r="451" spans="1:20" x14ac:dyDescent="0.25">
      <c r="A451" s="144" t="s">
        <v>206</v>
      </c>
      <c r="B451" s="144" t="s">
        <v>417</v>
      </c>
      <c r="C451" s="144" t="s">
        <v>572</v>
      </c>
      <c r="D451" s="195">
        <v>290000</v>
      </c>
      <c r="E451" s="154" t="s">
        <v>203</v>
      </c>
      <c r="F451" s="154">
        <v>121</v>
      </c>
      <c r="G451" s="134" t="str">
        <f>VLOOKUP(F451,plan3!A$1:H$300,3,FALSE)</f>
        <v>SUPORTE PARA BURETAS</v>
      </c>
      <c r="H451" s="155">
        <v>425</v>
      </c>
      <c r="I451" s="154">
        <v>2</v>
      </c>
      <c r="J451" s="158">
        <v>42894</v>
      </c>
      <c r="K451" s="147">
        <f>VLOOKUP(F451,plan3!A$1:H$300,8,FALSE)</f>
        <v>42.73</v>
      </c>
      <c r="L451" s="146">
        <v>42577</v>
      </c>
      <c r="M451" s="154" t="s">
        <v>596</v>
      </c>
      <c r="N451" s="154">
        <v>2</v>
      </c>
      <c r="O451" s="156">
        <f t="shared" si="24"/>
        <v>85.46</v>
      </c>
      <c r="P451" s="167">
        <v>42970</v>
      </c>
      <c r="Q451" s="154" t="s">
        <v>644</v>
      </c>
      <c r="R451" s="154"/>
      <c r="S451" s="154"/>
      <c r="T451" s="155" t="s">
        <v>601</v>
      </c>
    </row>
    <row r="452" spans="1:20" ht="30" x14ac:dyDescent="0.25">
      <c r="A452" s="134" t="s">
        <v>206</v>
      </c>
      <c r="B452" s="144" t="s">
        <v>417</v>
      </c>
      <c r="C452" s="134" t="s">
        <v>572</v>
      </c>
      <c r="D452" s="195">
        <v>290000</v>
      </c>
      <c r="E452" s="154" t="s">
        <v>203</v>
      </c>
      <c r="F452" s="154">
        <v>122</v>
      </c>
      <c r="G452" s="134" t="str">
        <f>VLOOKUP(F452,plan3!A$1:H$300,3,FALSE)</f>
        <v>SUPORTE PARA TUBOS DE ENSAIO, CAPACIDADE PARA 24 TUBOS</v>
      </c>
      <c r="H452" s="155">
        <v>425</v>
      </c>
      <c r="I452" s="154">
        <v>10</v>
      </c>
      <c r="J452" s="158">
        <v>42894</v>
      </c>
      <c r="K452" s="147">
        <f>VLOOKUP(F452,plan3!A$1:H$300,8,FALSE)</f>
        <v>21.65</v>
      </c>
      <c r="L452" s="146">
        <v>42577</v>
      </c>
      <c r="M452" s="154" t="s">
        <v>596</v>
      </c>
      <c r="N452" s="154">
        <v>10</v>
      </c>
      <c r="O452" s="156">
        <f t="shared" si="24"/>
        <v>216.5</v>
      </c>
      <c r="P452" s="167">
        <v>42970</v>
      </c>
      <c r="Q452" s="154" t="s">
        <v>644</v>
      </c>
      <c r="R452" s="154"/>
      <c r="S452" s="154"/>
      <c r="T452" s="155" t="s">
        <v>601</v>
      </c>
    </row>
    <row r="453" spans="1:20" x14ac:dyDescent="0.25">
      <c r="A453" s="144" t="s">
        <v>206</v>
      </c>
      <c r="B453" s="144" t="s">
        <v>417</v>
      </c>
      <c r="C453" s="144" t="s">
        <v>572</v>
      </c>
      <c r="D453" s="195">
        <v>290000</v>
      </c>
      <c r="E453" s="154" t="s">
        <v>203</v>
      </c>
      <c r="F453" s="154">
        <v>127</v>
      </c>
      <c r="G453" s="134" t="str">
        <f>VLOOKUP(F453,plan3!A$1:H$300,3,FALSE)</f>
        <v>TERMÔMETRO DE 100 C A 300 C, VIDRO</v>
      </c>
      <c r="H453" s="155">
        <v>425</v>
      </c>
      <c r="I453" s="154">
        <v>7</v>
      </c>
      <c r="J453" s="158">
        <v>42894</v>
      </c>
      <c r="K453" s="147">
        <f>VLOOKUP(F453,plan3!A$1:H$300,8,FALSE)</f>
        <v>170</v>
      </c>
      <c r="L453" s="146">
        <v>42577</v>
      </c>
      <c r="M453" s="154" t="s">
        <v>590</v>
      </c>
      <c r="N453" s="154">
        <v>7</v>
      </c>
      <c r="O453" s="156">
        <f t="shared" ref="O453:O454" si="25">N453*K453</f>
        <v>1190</v>
      </c>
      <c r="P453" s="167">
        <v>42954</v>
      </c>
      <c r="Q453" s="154" t="s">
        <v>639</v>
      </c>
      <c r="R453" s="154"/>
      <c r="S453" s="154"/>
      <c r="T453" s="155" t="s">
        <v>601</v>
      </c>
    </row>
    <row r="454" spans="1:20" ht="30" x14ac:dyDescent="0.25">
      <c r="A454" s="134" t="s">
        <v>206</v>
      </c>
      <c r="B454" s="144" t="s">
        <v>417</v>
      </c>
      <c r="C454" s="134" t="s">
        <v>572</v>
      </c>
      <c r="D454" s="195">
        <v>290000</v>
      </c>
      <c r="E454" s="154" t="s">
        <v>203</v>
      </c>
      <c r="F454" s="154">
        <v>128</v>
      </c>
      <c r="G454" s="134" t="str">
        <f>VLOOKUP(F454,plan3!A$1:H$300,3,FALSE)</f>
        <v>TERMÔMETRO PARA USO GERAL, ESCALA INTERNA, - 10 +150 C SEM TEFLON</v>
      </c>
      <c r="H454" s="155">
        <v>425</v>
      </c>
      <c r="I454" s="154">
        <v>18</v>
      </c>
      <c r="J454" s="158">
        <v>42894</v>
      </c>
      <c r="K454" s="147">
        <f>VLOOKUP(F454,plan3!A$1:H$300,8,FALSE)</f>
        <v>34.19</v>
      </c>
      <c r="L454" s="146">
        <v>42577</v>
      </c>
      <c r="M454" s="154" t="s">
        <v>590</v>
      </c>
      <c r="N454" s="154">
        <v>18</v>
      </c>
      <c r="O454" s="156">
        <f t="shared" si="25"/>
        <v>615.41999999999996</v>
      </c>
      <c r="P454" s="167">
        <v>42954</v>
      </c>
      <c r="Q454" s="154" t="s">
        <v>639</v>
      </c>
      <c r="R454" s="154"/>
      <c r="S454" s="154"/>
      <c r="T454" s="155" t="s">
        <v>601</v>
      </c>
    </row>
    <row r="455" spans="1:20" ht="30" x14ac:dyDescent="0.25">
      <c r="A455" s="150" t="s">
        <v>206</v>
      </c>
      <c r="B455" s="150" t="s">
        <v>417</v>
      </c>
      <c r="C455" s="150" t="s">
        <v>572</v>
      </c>
      <c r="D455" s="195">
        <v>290000</v>
      </c>
      <c r="E455" s="154" t="s">
        <v>203</v>
      </c>
      <c r="F455" s="154">
        <v>141</v>
      </c>
      <c r="G455" s="134" t="str">
        <f>VLOOKUP(F455,plan3!A$1:H$300,3,FALSE)</f>
        <v>TUBO DE ENSAIO TAMANHO 12 X 75 - 5 ML, PACOTE COM 1000 UNIDADES</v>
      </c>
      <c r="H455" s="155">
        <v>425</v>
      </c>
      <c r="I455" s="154">
        <v>1</v>
      </c>
      <c r="J455" s="158">
        <v>42894</v>
      </c>
      <c r="K455" s="147">
        <f>VLOOKUP(F455,plan3!A$1:H$300,8,FALSE)</f>
        <v>7.0000000000000007E-2</v>
      </c>
      <c r="L455" s="146">
        <v>42577</v>
      </c>
      <c r="M455" s="154"/>
      <c r="N455" s="154"/>
      <c r="O455" s="156"/>
      <c r="P455" s="154"/>
      <c r="Q455" s="154"/>
      <c r="R455" s="154"/>
      <c r="S455" s="154"/>
      <c r="T455" s="155"/>
    </row>
    <row r="456" spans="1:20" ht="45" x14ac:dyDescent="0.25">
      <c r="A456" s="134" t="s">
        <v>206</v>
      </c>
      <c r="B456" s="144" t="s">
        <v>417</v>
      </c>
      <c r="C456" s="134" t="s">
        <v>572</v>
      </c>
      <c r="D456" s="195">
        <v>290000</v>
      </c>
      <c r="E456" s="154" t="s">
        <v>203</v>
      </c>
      <c r="F456" s="154">
        <v>170</v>
      </c>
      <c r="G456" s="134" t="str">
        <f>VLOOKUP(F456,plan3!A$1:H$300,3,FALSE)</f>
        <v>TUBOS COM VÁCUO PARA COLETA DE SANGUE, TIPO VACUTAINER K2 COM ANTICOAGULANTE EDTA(K2E). REF 367861.</v>
      </c>
      <c r="H456" s="155">
        <v>425</v>
      </c>
      <c r="I456" s="154">
        <v>2</v>
      </c>
      <c r="J456" s="158">
        <v>42894</v>
      </c>
      <c r="K456" s="147">
        <f>VLOOKUP(F456,plan3!A$1:H$300,8,FALSE)</f>
        <v>0.5</v>
      </c>
      <c r="L456" s="146">
        <v>42577</v>
      </c>
      <c r="M456" s="154" t="s">
        <v>591</v>
      </c>
      <c r="N456" s="154">
        <v>2</v>
      </c>
      <c r="O456" s="156">
        <f>N456*K456</f>
        <v>1</v>
      </c>
      <c r="P456" s="167">
        <v>42940</v>
      </c>
      <c r="Q456" s="154" t="s">
        <v>637</v>
      </c>
      <c r="R456" s="154"/>
      <c r="S456" s="154"/>
      <c r="T456" s="155" t="s">
        <v>601</v>
      </c>
    </row>
    <row r="457" spans="1:20" x14ac:dyDescent="0.25">
      <c r="A457" s="144" t="s">
        <v>206</v>
      </c>
      <c r="B457" s="144" t="s">
        <v>417</v>
      </c>
      <c r="C457" s="144" t="s">
        <v>572</v>
      </c>
      <c r="D457" s="195">
        <v>290000</v>
      </c>
      <c r="E457" s="154" t="s">
        <v>203</v>
      </c>
      <c r="F457" s="154">
        <v>151</v>
      </c>
      <c r="G457" s="134" t="str">
        <f>VLOOKUP(F457,plan3!A$1:H$300,3,FALSE)</f>
        <v>VIDRO DE RELÓGIO (LAPIDADO) DE 10 CM</v>
      </c>
      <c r="H457" s="155">
        <v>425</v>
      </c>
      <c r="I457" s="154">
        <v>25</v>
      </c>
      <c r="J457" s="158">
        <v>42894</v>
      </c>
      <c r="K457" s="147">
        <f>VLOOKUP(F457,plan3!A$1:H$300,8,FALSE)</f>
        <v>3.99</v>
      </c>
      <c r="L457" s="146">
        <v>42577</v>
      </c>
      <c r="M457" s="154" t="s">
        <v>596</v>
      </c>
      <c r="N457" s="154">
        <v>10</v>
      </c>
      <c r="O457" s="156">
        <f>N457*K457</f>
        <v>39.900000000000006</v>
      </c>
      <c r="P457" s="167">
        <v>42970</v>
      </c>
      <c r="Q457" s="154" t="s">
        <v>644</v>
      </c>
      <c r="R457" s="154"/>
      <c r="S457" s="154"/>
      <c r="T457" s="155" t="s">
        <v>601</v>
      </c>
    </row>
    <row r="458" spans="1:20" ht="30" x14ac:dyDescent="0.25">
      <c r="A458" s="134" t="s">
        <v>206</v>
      </c>
      <c r="B458" s="144" t="s">
        <v>417</v>
      </c>
      <c r="C458" s="134" t="s">
        <v>572</v>
      </c>
      <c r="D458" s="195">
        <v>400000</v>
      </c>
      <c r="E458" s="154" t="s">
        <v>578</v>
      </c>
      <c r="F458" s="154">
        <v>161</v>
      </c>
      <c r="G458" s="134" t="str">
        <f>VLOOKUP(F458,plan3!A$1:H$300,3,FALSE)</f>
        <v>FRASCO REAGENTE EM VIDRO CAPACIDADE 1000ML COM TAMPA</v>
      </c>
      <c r="H458" s="155">
        <v>475</v>
      </c>
      <c r="I458" s="154">
        <v>3</v>
      </c>
      <c r="J458" s="158">
        <v>42898</v>
      </c>
      <c r="K458" s="147">
        <f>VLOOKUP(F458,plan3!A$1:H$300,8,FALSE)</f>
        <v>15</v>
      </c>
      <c r="L458" s="146">
        <v>42577</v>
      </c>
      <c r="M458" s="154" t="s">
        <v>593</v>
      </c>
      <c r="N458" s="154">
        <v>3</v>
      </c>
      <c r="O458" s="156">
        <f>K458*N458</f>
        <v>45</v>
      </c>
      <c r="P458" s="169">
        <v>42933</v>
      </c>
      <c r="Q458" s="193" t="s">
        <v>631</v>
      </c>
      <c r="R458" s="154"/>
      <c r="S458" s="154"/>
      <c r="T458" s="155" t="s">
        <v>601</v>
      </c>
    </row>
    <row r="459" spans="1:20" ht="30" x14ac:dyDescent="0.25">
      <c r="A459" s="134" t="s">
        <v>206</v>
      </c>
      <c r="B459" s="144" t="s">
        <v>417</v>
      </c>
      <c r="C459" s="134" t="s">
        <v>572</v>
      </c>
      <c r="D459" s="195">
        <v>400000</v>
      </c>
      <c r="E459" s="154" t="s">
        <v>578</v>
      </c>
      <c r="F459" s="154">
        <v>162</v>
      </c>
      <c r="G459" s="134" t="str">
        <f>VLOOKUP(F459,plan3!A$1:H$300,3,FALSE)</f>
        <v>FRASCO REAGENTE EM VIDRO CAPACIDADE 125ML COM TAMPA</v>
      </c>
      <c r="H459" s="155">
        <v>475</v>
      </c>
      <c r="I459" s="154">
        <v>2</v>
      </c>
      <c r="J459" s="158">
        <v>42898</v>
      </c>
      <c r="K459" s="147">
        <f>VLOOKUP(F459,plan3!A$1:H$300,8,FALSE)</f>
        <v>12</v>
      </c>
      <c r="L459" s="146">
        <v>42577</v>
      </c>
      <c r="M459" s="154" t="s">
        <v>593</v>
      </c>
      <c r="N459" s="154">
        <v>2</v>
      </c>
      <c r="O459" s="156">
        <f>K459*N459</f>
        <v>24</v>
      </c>
      <c r="P459" s="169">
        <v>42933</v>
      </c>
      <c r="Q459" s="193" t="s">
        <v>631</v>
      </c>
      <c r="R459" s="154"/>
      <c r="S459" s="154"/>
      <c r="T459" s="155" t="s">
        <v>601</v>
      </c>
    </row>
    <row r="460" spans="1:20" x14ac:dyDescent="0.25">
      <c r="A460" s="134" t="s">
        <v>206</v>
      </c>
      <c r="B460" s="144" t="s">
        <v>417</v>
      </c>
      <c r="C460" s="134" t="s">
        <v>572</v>
      </c>
      <c r="D460" s="195">
        <v>400000</v>
      </c>
      <c r="E460" s="154" t="s">
        <v>578</v>
      </c>
      <c r="F460" s="154">
        <v>1</v>
      </c>
      <c r="G460" s="134" t="str">
        <f>VLOOKUP(F460,plan3!A$1:H$300,3,FALSE)</f>
        <v>JARRO DE PORCELANA 1 LITRO PARA MOINHO DE BOLAS.</v>
      </c>
      <c r="H460" s="155">
        <v>475</v>
      </c>
      <c r="I460" s="154">
        <v>1</v>
      </c>
      <c r="J460" s="158">
        <v>42898</v>
      </c>
      <c r="K460" s="147">
        <f>VLOOKUP(F460,plan3!A$1:H$300,8,FALSE)</f>
        <v>399</v>
      </c>
      <c r="L460" s="146">
        <v>42577</v>
      </c>
      <c r="M460" s="154" t="s">
        <v>596</v>
      </c>
      <c r="N460" s="154">
        <v>1</v>
      </c>
      <c r="O460" s="156">
        <f>K460*N460</f>
        <v>399</v>
      </c>
      <c r="P460" s="167">
        <v>42970</v>
      </c>
      <c r="Q460" s="154" t="s">
        <v>644</v>
      </c>
      <c r="R460" s="154"/>
      <c r="S460" s="154"/>
      <c r="T460" s="155" t="s">
        <v>601</v>
      </c>
    </row>
    <row r="461" spans="1:20" ht="45" x14ac:dyDescent="0.25">
      <c r="A461" s="144" t="s">
        <v>206</v>
      </c>
      <c r="B461" s="144" t="s">
        <v>417</v>
      </c>
      <c r="C461" s="144" t="s">
        <v>572</v>
      </c>
      <c r="D461" s="195">
        <v>400000</v>
      </c>
      <c r="E461" s="154" t="s">
        <v>578</v>
      </c>
      <c r="F461" s="154">
        <v>5</v>
      </c>
      <c r="G461" s="134" t="str">
        <f>VLOOKUP(F461,plan3!A$1:H$300,3,FALSE)</f>
        <v>LÂMINA LABORATÓRIO, MATERIAL VIDRO, DIMENSÕES CERCA DE 75 X 25 MM, TIPO* LAPIDADA, TIPO BORDA BORDA FOSCA</v>
      </c>
      <c r="H461" s="155">
        <v>475</v>
      </c>
      <c r="I461" s="154">
        <v>30</v>
      </c>
      <c r="J461" s="158">
        <v>42898</v>
      </c>
      <c r="K461" s="147">
        <f>VLOOKUP(F461,plan3!A$1:H$300,8,FALSE)</f>
        <v>3.2</v>
      </c>
      <c r="L461" s="146">
        <v>42577</v>
      </c>
      <c r="M461" s="154" t="s">
        <v>598</v>
      </c>
      <c r="N461" s="154">
        <v>30</v>
      </c>
      <c r="O461" s="156">
        <f t="shared" ref="O461:O462" si="26">N461*K461</f>
        <v>96</v>
      </c>
      <c r="P461" s="169" t="s">
        <v>643</v>
      </c>
      <c r="Q461" s="154"/>
      <c r="R461" s="154"/>
      <c r="S461" s="154"/>
      <c r="T461" s="155" t="s">
        <v>647</v>
      </c>
    </row>
    <row r="462" spans="1:20" ht="45" x14ac:dyDescent="0.25">
      <c r="A462" s="134" t="s">
        <v>206</v>
      </c>
      <c r="B462" s="144" t="s">
        <v>417</v>
      </c>
      <c r="C462" s="134" t="s">
        <v>572</v>
      </c>
      <c r="D462" s="195">
        <v>400000</v>
      </c>
      <c r="E462" s="154" t="s">
        <v>578</v>
      </c>
      <c r="F462" s="154">
        <v>4</v>
      </c>
      <c r="G462" s="134" t="str">
        <f>VLOOKUP(F462,plan3!A$1:H$300,3,FALSE)</f>
        <v>LÂMINA LABORATÓRIO, MATERIAL VIDRO, APLICAÇÃO PREPARADA, DIMENSÕES CERCA DE 75X 25 MM, TIPO* CONJUNTO C/ ATÉ 100 PEÇAS, ADICIONAL PARA BOTÂNICA</v>
      </c>
      <c r="H462" s="155">
        <v>475</v>
      </c>
      <c r="I462" s="154">
        <v>10</v>
      </c>
      <c r="J462" s="158">
        <v>42898</v>
      </c>
      <c r="K462" s="147">
        <f>VLOOKUP(F462,plan3!A$1:H$300,8,FALSE)</f>
        <v>689</v>
      </c>
      <c r="L462" s="146">
        <v>42577</v>
      </c>
      <c r="M462" s="154" t="s">
        <v>598</v>
      </c>
      <c r="N462" s="154">
        <v>10</v>
      </c>
      <c r="O462" s="156">
        <f t="shared" si="26"/>
        <v>6890</v>
      </c>
      <c r="P462" s="169" t="s">
        <v>643</v>
      </c>
      <c r="Q462" s="154"/>
      <c r="R462" s="154"/>
      <c r="S462" s="154"/>
      <c r="T462" s="155" t="s">
        <v>647</v>
      </c>
    </row>
    <row r="463" spans="1:20" ht="45" x14ac:dyDescent="0.25">
      <c r="A463" s="144" t="s">
        <v>206</v>
      </c>
      <c r="B463" s="144" t="s">
        <v>417</v>
      </c>
      <c r="C463" s="144" t="s">
        <v>572</v>
      </c>
      <c r="D463" s="195">
        <v>400000</v>
      </c>
      <c r="E463" s="154" t="s">
        <v>578</v>
      </c>
      <c r="F463" s="154">
        <v>21</v>
      </c>
      <c r="G463" s="134" t="str">
        <f>VLOOKUP(F463,plan3!A$1:H$300,3,FALSE)</f>
        <v>PENEIRA GRANULOMÉTRICA, MATERIAL AÇO INOXIDÁVEL, DIÂMETRO 8, ALTURA 2, TAMANHO ABERTURA MALHAS 100 MESH</v>
      </c>
      <c r="H463" s="155">
        <v>475</v>
      </c>
      <c r="I463" s="154">
        <v>4</v>
      </c>
      <c r="J463" s="158">
        <v>42898</v>
      </c>
      <c r="K463" s="147">
        <f>VLOOKUP(F463,plan3!A$1:H$300,8,FALSE)</f>
        <v>113.5</v>
      </c>
      <c r="L463" s="146">
        <v>42577</v>
      </c>
      <c r="M463" s="154" t="s">
        <v>597</v>
      </c>
      <c r="N463" s="154">
        <v>4</v>
      </c>
      <c r="O463" s="156">
        <f>N463*K463</f>
        <v>454</v>
      </c>
      <c r="P463" s="167">
        <v>42926</v>
      </c>
      <c r="Q463" s="154" t="s">
        <v>642</v>
      </c>
      <c r="R463" s="154"/>
      <c r="S463" s="154"/>
      <c r="T463" s="155" t="s">
        <v>601</v>
      </c>
    </row>
    <row r="464" spans="1:20" x14ac:dyDescent="0.25">
      <c r="A464" s="134" t="s">
        <v>206</v>
      </c>
      <c r="B464" s="144" t="s">
        <v>417</v>
      </c>
      <c r="C464" s="134" t="s">
        <v>572</v>
      </c>
      <c r="D464" s="195">
        <v>400000</v>
      </c>
      <c r="E464" s="154" t="s">
        <v>578</v>
      </c>
      <c r="F464" s="154">
        <v>43</v>
      </c>
      <c r="G464" s="134" t="str">
        <f>VLOOKUP(F464,plan3!A$1:H$300,3,FALSE)</f>
        <v>PIPETA GRADUADA ESGOTAMENTO TOTAL 10 ML</v>
      </c>
      <c r="H464" s="155">
        <v>475</v>
      </c>
      <c r="I464" s="154">
        <v>10</v>
      </c>
      <c r="J464" s="158">
        <v>42898</v>
      </c>
      <c r="K464" s="147">
        <f>VLOOKUP(F464,plan3!A$1:H$300,8,FALSE)</f>
        <v>1.82</v>
      </c>
      <c r="L464" s="146">
        <v>42577</v>
      </c>
      <c r="M464" s="154" t="s">
        <v>600</v>
      </c>
      <c r="N464" s="154">
        <v>10</v>
      </c>
      <c r="O464" s="156">
        <f t="shared" ref="O464:O466" si="27">N464*K464</f>
        <v>18.2</v>
      </c>
      <c r="P464" s="167">
        <v>42933</v>
      </c>
      <c r="Q464" s="154" t="s">
        <v>635</v>
      </c>
      <c r="R464" s="154"/>
      <c r="S464" s="154"/>
      <c r="T464" s="155" t="s">
        <v>601</v>
      </c>
    </row>
    <row r="465" spans="1:20" x14ac:dyDescent="0.25">
      <c r="A465" s="150" t="s">
        <v>206</v>
      </c>
      <c r="B465" s="150" t="s">
        <v>417</v>
      </c>
      <c r="C465" s="150" t="s">
        <v>572</v>
      </c>
      <c r="D465" s="195">
        <v>400000</v>
      </c>
      <c r="E465" s="154" t="s">
        <v>578</v>
      </c>
      <c r="F465" s="154">
        <v>47</v>
      </c>
      <c r="G465" s="134" t="str">
        <f>VLOOKUP(F465,plan3!A$1:H$300,3,FALSE)</f>
        <v>PIPETA GRADUADA ESGOTAMENTO TOTAL 25 ML</v>
      </c>
      <c r="H465" s="155">
        <v>475</v>
      </c>
      <c r="I465" s="154">
        <v>10</v>
      </c>
      <c r="J465" s="158">
        <v>42898</v>
      </c>
      <c r="K465" s="147">
        <f>VLOOKUP(F465,plan3!A$1:H$300,8,FALSE)</f>
        <v>3.95</v>
      </c>
      <c r="L465" s="146">
        <v>42577</v>
      </c>
      <c r="M465" s="154" t="s">
        <v>600</v>
      </c>
      <c r="N465" s="154">
        <v>10</v>
      </c>
      <c r="O465" s="156">
        <f t="shared" si="27"/>
        <v>39.5</v>
      </c>
      <c r="P465" s="167">
        <v>42933</v>
      </c>
      <c r="Q465" s="154" t="s">
        <v>635</v>
      </c>
      <c r="R465" s="154"/>
      <c r="S465" s="154"/>
      <c r="T465" s="155" t="s">
        <v>601</v>
      </c>
    </row>
    <row r="466" spans="1:20" x14ac:dyDescent="0.25">
      <c r="A466" s="134" t="s">
        <v>206</v>
      </c>
      <c r="B466" s="144" t="s">
        <v>417</v>
      </c>
      <c r="C466" s="134" t="s">
        <v>572</v>
      </c>
      <c r="D466" s="195">
        <v>400000</v>
      </c>
      <c r="E466" s="154" t="s">
        <v>578</v>
      </c>
      <c r="F466" s="154">
        <v>48</v>
      </c>
      <c r="G466" s="134" t="str">
        <f>VLOOKUP(F466,plan3!A$1:H$300,3,FALSE)</f>
        <v>PIPETA GRADUADA ESGOTAMENTO TOTAL 5 ML</v>
      </c>
      <c r="H466" s="155">
        <v>475</v>
      </c>
      <c r="I466" s="154">
        <v>10</v>
      </c>
      <c r="J466" s="158">
        <v>42898</v>
      </c>
      <c r="K466" s="147">
        <f>VLOOKUP(F466,plan3!A$1:H$300,8,FALSE)</f>
        <v>2.29</v>
      </c>
      <c r="L466" s="146">
        <v>42577</v>
      </c>
      <c r="M466" s="154" t="s">
        <v>600</v>
      </c>
      <c r="N466" s="154">
        <v>10</v>
      </c>
      <c r="O466" s="156">
        <f t="shared" si="27"/>
        <v>22.9</v>
      </c>
      <c r="P466" s="167">
        <v>42933</v>
      </c>
      <c r="Q466" s="154" t="s">
        <v>635</v>
      </c>
      <c r="R466" s="154"/>
      <c r="S466" s="154"/>
      <c r="T466" s="155" t="s">
        <v>601</v>
      </c>
    </row>
    <row r="467" spans="1:20" ht="30" x14ac:dyDescent="0.25">
      <c r="A467" s="144" t="s">
        <v>206</v>
      </c>
      <c r="B467" s="144" t="s">
        <v>417</v>
      </c>
      <c r="C467" s="144" t="s">
        <v>572</v>
      </c>
      <c r="D467" s="195">
        <v>400000</v>
      </c>
      <c r="E467" s="154" t="s">
        <v>578</v>
      </c>
      <c r="F467" s="154">
        <v>55</v>
      </c>
      <c r="G467" s="134" t="str">
        <f>VLOOKUP(F467,plan3!A$1:H$300,3,FALSE)</f>
        <v>PIPETA MANUAL; MODELO GRADUADA; CAPACIDADE 25 ML; MATERIAL VIDRO; APLICAÇÃO USO LABORATORIAL</v>
      </c>
      <c r="H467" s="155">
        <v>475</v>
      </c>
      <c r="I467" s="154">
        <v>5</v>
      </c>
      <c r="J467" s="158">
        <v>42898</v>
      </c>
      <c r="K467" s="147">
        <f>VLOOKUP(F467,plan3!A$1:H$300,8,FALSE)</f>
        <v>5.19</v>
      </c>
      <c r="L467" s="146">
        <v>42577</v>
      </c>
      <c r="M467" s="154" t="s">
        <v>589</v>
      </c>
      <c r="N467" s="154">
        <v>5</v>
      </c>
      <c r="O467" s="156">
        <f>N467*K467</f>
        <v>25.950000000000003</v>
      </c>
      <c r="P467" s="169">
        <v>42976</v>
      </c>
      <c r="Q467" s="193" t="s">
        <v>638</v>
      </c>
      <c r="R467" s="154"/>
      <c r="S467" s="154"/>
      <c r="T467" s="155" t="s">
        <v>601</v>
      </c>
    </row>
    <row r="468" spans="1:20" x14ac:dyDescent="0.25">
      <c r="A468" s="134" t="s">
        <v>206</v>
      </c>
      <c r="B468" s="144" t="s">
        <v>417</v>
      </c>
      <c r="C468" s="134" t="s">
        <v>572</v>
      </c>
      <c r="D468" s="195">
        <v>400000</v>
      </c>
      <c r="E468" s="154" t="s">
        <v>578</v>
      </c>
      <c r="F468" s="154">
        <v>67</v>
      </c>
      <c r="G468" s="134" t="str">
        <f>VLOOKUP(F468,plan3!A$1:H$300,3,FALSE)</f>
        <v>PIPETA VOLUMÉTRICA ESGOTAMENTO TOTAL 2 ML</v>
      </c>
      <c r="H468" s="155">
        <v>475</v>
      </c>
      <c r="I468" s="154">
        <v>10</v>
      </c>
      <c r="J468" s="158">
        <v>42898</v>
      </c>
      <c r="K468" s="147">
        <f>VLOOKUP(F468,plan3!A$1:H$300,8,FALSE)</f>
        <v>4.41</v>
      </c>
      <c r="L468" s="146">
        <v>42577</v>
      </c>
      <c r="M468" s="154" t="s">
        <v>596</v>
      </c>
      <c r="N468" s="162">
        <v>4</v>
      </c>
      <c r="O468" s="156">
        <f>N468*K468</f>
        <v>17.64</v>
      </c>
      <c r="P468" s="167">
        <v>42970</v>
      </c>
      <c r="Q468" s="154" t="s">
        <v>644</v>
      </c>
      <c r="R468" s="154"/>
      <c r="S468" s="154"/>
      <c r="T468" s="155" t="s">
        <v>601</v>
      </c>
    </row>
    <row r="469" spans="1:20" ht="60" x14ac:dyDescent="0.25">
      <c r="A469" s="144" t="s">
        <v>206</v>
      </c>
      <c r="B469" s="144" t="s">
        <v>417</v>
      </c>
      <c r="C469" s="144" t="s">
        <v>572</v>
      </c>
      <c r="D469" s="195">
        <v>400000</v>
      </c>
      <c r="E469" s="154" t="s">
        <v>578</v>
      </c>
      <c r="F469" s="154">
        <v>169</v>
      </c>
      <c r="G469" s="134" t="str">
        <f>VLOOKUP(F469,plan3!A$1:H$300,3,FALSE)</f>
        <v>PONTEIRA PARA PIPETA AUTOMÁTICA, TIPO PONTEIRAS PLÁSTICAS GILSON, SEM FILTRO, TRANSPARENTE, VOLUME 1-200L; LIVRE DE DNASE, RNASE E PIROGÊNIO. PACOTE COM 100 UND</v>
      </c>
      <c r="H469" s="155">
        <v>475</v>
      </c>
      <c r="I469" s="154">
        <v>3</v>
      </c>
      <c r="J469" s="158">
        <v>42898</v>
      </c>
      <c r="K469" s="147">
        <f>VLOOKUP(F469,plan3!A$1:H$300,8,FALSE)</f>
        <v>25</v>
      </c>
      <c r="L469" s="146">
        <v>42577</v>
      </c>
      <c r="M469" s="154" t="s">
        <v>594</v>
      </c>
      <c r="N469" s="154">
        <v>3</v>
      </c>
      <c r="O469" s="156">
        <f>N469*K469</f>
        <v>75</v>
      </c>
      <c r="P469" s="167">
        <v>42934</v>
      </c>
      <c r="Q469" s="154" t="s">
        <v>640</v>
      </c>
      <c r="R469" s="154"/>
      <c r="S469" s="154"/>
      <c r="T469" s="155" t="s">
        <v>601</v>
      </c>
    </row>
    <row r="470" spans="1:20" ht="30" x14ac:dyDescent="0.25">
      <c r="A470" s="134" t="s">
        <v>206</v>
      </c>
      <c r="B470" s="144" t="s">
        <v>417</v>
      </c>
      <c r="C470" s="134" t="s">
        <v>572</v>
      </c>
      <c r="D470" s="195">
        <v>400000</v>
      </c>
      <c r="E470" s="154" t="s">
        <v>578</v>
      </c>
      <c r="F470" s="154">
        <v>125</v>
      </c>
      <c r="G470" s="134" t="str">
        <f>VLOOKUP(F470,plan3!A$1:H$300,3,FALSE)</f>
        <v>SUPORTE DE VIDRO PARA PIPETAS; SUPORTE GIRATÓRIO PARA PIPETAS DE VIDRO</v>
      </c>
      <c r="H470" s="155">
        <v>475</v>
      </c>
      <c r="I470" s="154">
        <v>4</v>
      </c>
      <c r="J470" s="158">
        <v>42898</v>
      </c>
      <c r="K470" s="147">
        <f>VLOOKUP(F470,plan3!A$1:H$300,8,FALSE)</f>
        <v>88.53</v>
      </c>
      <c r="L470" s="146">
        <v>42577</v>
      </c>
      <c r="M470" s="154" t="s">
        <v>596</v>
      </c>
      <c r="N470" s="154">
        <v>3</v>
      </c>
      <c r="O470" s="156">
        <f t="shared" ref="O470:O471" si="28">N470*K470</f>
        <v>265.59000000000003</v>
      </c>
      <c r="P470" s="167">
        <v>42970</v>
      </c>
      <c r="Q470" s="154" t="s">
        <v>644</v>
      </c>
      <c r="R470" s="154"/>
      <c r="S470" s="154"/>
      <c r="T470" s="155" t="s">
        <v>601</v>
      </c>
    </row>
    <row r="471" spans="1:20" ht="30" x14ac:dyDescent="0.25">
      <c r="A471" s="144" t="s">
        <v>206</v>
      </c>
      <c r="B471" s="144" t="s">
        <v>417</v>
      </c>
      <c r="C471" s="144" t="s">
        <v>572</v>
      </c>
      <c r="D471" s="195">
        <v>400000</v>
      </c>
      <c r="E471" s="154" t="s">
        <v>578</v>
      </c>
      <c r="F471" s="154">
        <v>122</v>
      </c>
      <c r="G471" s="134" t="str">
        <f>VLOOKUP(F471,plan3!A$1:H$300,3,FALSE)</f>
        <v>SUPORTE PARA TUBOS DE ENSAIO, CAPACIDADE PARA 24 TUBOS</v>
      </c>
      <c r="H471" s="155">
        <v>475</v>
      </c>
      <c r="I471" s="154">
        <v>4</v>
      </c>
      <c r="J471" s="158">
        <v>42898</v>
      </c>
      <c r="K471" s="147">
        <f>VLOOKUP(F471,plan3!A$1:H$300,8,FALSE)</f>
        <v>21.65</v>
      </c>
      <c r="L471" s="146">
        <v>42577</v>
      </c>
      <c r="M471" s="154" t="s">
        <v>596</v>
      </c>
      <c r="N471" s="154">
        <v>4</v>
      </c>
      <c r="O471" s="156">
        <f t="shared" si="28"/>
        <v>86.6</v>
      </c>
      <c r="P471" s="167">
        <v>42970</v>
      </c>
      <c r="Q471" s="154" t="s">
        <v>644</v>
      </c>
      <c r="R471" s="154"/>
      <c r="S471" s="154"/>
      <c r="T471" s="155" t="s">
        <v>601</v>
      </c>
    </row>
    <row r="472" spans="1:20" x14ac:dyDescent="0.25">
      <c r="A472" s="134" t="s">
        <v>206</v>
      </c>
      <c r="B472" s="144" t="s">
        <v>417</v>
      </c>
      <c r="C472" s="134" t="s">
        <v>572</v>
      </c>
      <c r="D472" s="195">
        <v>400000</v>
      </c>
      <c r="E472" s="154" t="s">
        <v>578</v>
      </c>
      <c r="F472" s="154">
        <v>127</v>
      </c>
      <c r="G472" s="134" t="str">
        <f>VLOOKUP(F472,plan3!A$1:H$300,3,FALSE)</f>
        <v>TERMÔMETRO DE 100 C A 300 C, VIDRO</v>
      </c>
      <c r="H472" s="155">
        <v>475</v>
      </c>
      <c r="I472" s="154">
        <v>3</v>
      </c>
      <c r="J472" s="158">
        <v>42898</v>
      </c>
      <c r="K472" s="147">
        <f>VLOOKUP(F472,plan3!A$1:H$300,8,FALSE)</f>
        <v>170</v>
      </c>
      <c r="L472" s="146">
        <v>42577</v>
      </c>
      <c r="M472" s="154" t="s">
        <v>590</v>
      </c>
      <c r="N472" s="154">
        <v>3</v>
      </c>
      <c r="O472" s="156">
        <f t="shared" ref="O472:O473" si="29">N472*K472</f>
        <v>510</v>
      </c>
      <c r="P472" s="167">
        <v>42954</v>
      </c>
      <c r="Q472" s="154" t="s">
        <v>639</v>
      </c>
      <c r="R472" s="154"/>
      <c r="S472" s="154"/>
      <c r="T472" s="155" t="s">
        <v>601</v>
      </c>
    </row>
    <row r="473" spans="1:20" ht="30" x14ac:dyDescent="0.25">
      <c r="A473" s="144" t="s">
        <v>206</v>
      </c>
      <c r="B473" s="144" t="s">
        <v>417</v>
      </c>
      <c r="C473" s="144" t="s">
        <v>572</v>
      </c>
      <c r="D473" s="195">
        <v>400000</v>
      </c>
      <c r="E473" s="154" t="s">
        <v>578</v>
      </c>
      <c r="F473" s="154">
        <v>128</v>
      </c>
      <c r="G473" s="134" t="str">
        <f>VLOOKUP(F473,plan3!A$1:H$300,3,FALSE)</f>
        <v>TERMÔMETRO PARA USO GERAL, ESCALA INTERNA, - 10 +150 C SEM TEFLON</v>
      </c>
      <c r="H473" s="155">
        <v>475</v>
      </c>
      <c r="I473" s="154">
        <v>3</v>
      </c>
      <c r="J473" s="158">
        <v>42898</v>
      </c>
      <c r="K473" s="147">
        <f>VLOOKUP(F473,plan3!A$1:H$300,8,FALSE)</f>
        <v>34.19</v>
      </c>
      <c r="L473" s="146">
        <v>42577</v>
      </c>
      <c r="M473" s="154" t="s">
        <v>590</v>
      </c>
      <c r="N473" s="154">
        <v>3</v>
      </c>
      <c r="O473" s="156">
        <f t="shared" si="29"/>
        <v>102.57</v>
      </c>
      <c r="P473" s="167">
        <v>42954</v>
      </c>
      <c r="Q473" s="154" t="s">
        <v>639</v>
      </c>
      <c r="R473" s="154"/>
      <c r="S473" s="154"/>
      <c r="T473" s="155" t="s">
        <v>601</v>
      </c>
    </row>
    <row r="474" spans="1:20" ht="30" x14ac:dyDescent="0.25">
      <c r="A474" s="134" t="s">
        <v>206</v>
      </c>
      <c r="B474" s="144" t="s">
        <v>417</v>
      </c>
      <c r="C474" s="134" t="s">
        <v>572</v>
      </c>
      <c r="D474" s="195">
        <v>400000</v>
      </c>
      <c r="E474" s="154" t="s">
        <v>578</v>
      </c>
      <c r="F474" s="154">
        <v>141</v>
      </c>
      <c r="G474" s="134" t="str">
        <f>VLOOKUP(F474,plan3!A$1:H$300,3,FALSE)</f>
        <v>TUBO DE ENSAIO TAMANHO 12 X 75 - 5 ML, PACOTE COM 1000 UNIDADES</v>
      </c>
      <c r="H474" s="155">
        <v>475</v>
      </c>
      <c r="I474" s="154">
        <v>2</v>
      </c>
      <c r="J474" s="158">
        <v>42898</v>
      </c>
      <c r="K474" s="147">
        <f>VLOOKUP(F474,plan3!A$1:H$300,8,FALSE)</f>
        <v>7.0000000000000007E-2</v>
      </c>
      <c r="L474" s="146">
        <v>42577</v>
      </c>
      <c r="M474" s="154"/>
      <c r="N474" s="154"/>
      <c r="O474" s="156"/>
      <c r="P474" s="154"/>
      <c r="Q474" s="154"/>
      <c r="R474" s="154"/>
      <c r="S474" s="154"/>
      <c r="T474" s="155"/>
    </row>
    <row r="475" spans="1:20" x14ac:dyDescent="0.25">
      <c r="A475" s="150" t="s">
        <v>206</v>
      </c>
      <c r="B475" s="150" t="s">
        <v>417</v>
      </c>
      <c r="C475" s="150" t="s">
        <v>572</v>
      </c>
      <c r="D475" s="195">
        <v>400000</v>
      </c>
      <c r="E475" s="154" t="s">
        <v>578</v>
      </c>
      <c r="F475" s="154">
        <v>149</v>
      </c>
      <c r="G475" s="134" t="str">
        <f>VLOOKUP(F475,plan3!A$1:H$300,3,FALSE)</f>
        <v>TUBO DE NESSLER 25 ML</v>
      </c>
      <c r="H475" s="155">
        <v>475</v>
      </c>
      <c r="I475" s="154">
        <v>20</v>
      </c>
      <c r="J475" s="158">
        <v>42898</v>
      </c>
      <c r="K475" s="147">
        <f>VLOOKUP(F475,plan3!A$1:H$300,8,FALSE)</f>
        <v>17.48</v>
      </c>
      <c r="L475" s="146">
        <v>42577</v>
      </c>
      <c r="M475" s="154" t="s">
        <v>596</v>
      </c>
      <c r="N475" s="154">
        <v>20</v>
      </c>
      <c r="O475" s="156">
        <f t="shared" ref="O475:O477" si="30">N475*K475</f>
        <v>349.6</v>
      </c>
      <c r="P475" s="167">
        <v>42970</v>
      </c>
      <c r="Q475" s="154" t="s">
        <v>644</v>
      </c>
      <c r="R475" s="154"/>
      <c r="S475" s="154"/>
      <c r="T475" s="155" t="s">
        <v>601</v>
      </c>
    </row>
    <row r="476" spans="1:20" x14ac:dyDescent="0.25">
      <c r="A476" s="134" t="s">
        <v>206</v>
      </c>
      <c r="B476" s="144" t="s">
        <v>417</v>
      </c>
      <c r="C476" s="134" t="s">
        <v>572</v>
      </c>
      <c r="D476" s="195">
        <v>400000</v>
      </c>
      <c r="E476" s="154" t="s">
        <v>578</v>
      </c>
      <c r="F476" s="154">
        <v>151</v>
      </c>
      <c r="G476" s="134" t="str">
        <f>VLOOKUP(F476,plan3!A$1:H$300,3,FALSE)</f>
        <v>VIDRO DE RELÓGIO (LAPIDADO) DE 10 CM</v>
      </c>
      <c r="H476" s="155">
        <v>475</v>
      </c>
      <c r="I476" s="154">
        <v>10</v>
      </c>
      <c r="J476" s="158">
        <v>42898</v>
      </c>
      <c r="K476" s="147">
        <f>VLOOKUP(F476,plan3!A$1:H$300,8,FALSE)</f>
        <v>3.99</v>
      </c>
      <c r="L476" s="146">
        <v>42577</v>
      </c>
      <c r="M476" s="154" t="s">
        <v>596</v>
      </c>
      <c r="N476" s="154">
        <v>10</v>
      </c>
      <c r="O476" s="156">
        <f t="shared" si="30"/>
        <v>39.900000000000006</v>
      </c>
      <c r="P476" s="167">
        <v>42970</v>
      </c>
      <c r="Q476" s="154" t="s">
        <v>644</v>
      </c>
      <c r="R476" s="154"/>
      <c r="S476" s="154"/>
      <c r="T476" s="155" t="s">
        <v>601</v>
      </c>
    </row>
    <row r="477" spans="1:20" x14ac:dyDescent="0.25">
      <c r="A477" s="144" t="s">
        <v>206</v>
      </c>
      <c r="B477" s="144" t="s">
        <v>417</v>
      </c>
      <c r="C477" s="144" t="s">
        <v>572</v>
      </c>
      <c r="D477" s="195">
        <v>400000</v>
      </c>
      <c r="E477" s="154" t="s">
        <v>578</v>
      </c>
      <c r="F477" s="154">
        <v>150</v>
      </c>
      <c r="G477" s="134" t="str">
        <f>VLOOKUP(F477,plan3!A$1:H$300,3,FALSE)</f>
        <v>VIDRO DE RELÓGIO (LAPIDADO) DE 18 CM</v>
      </c>
      <c r="H477" s="155">
        <v>475</v>
      </c>
      <c r="I477" s="154">
        <v>10</v>
      </c>
      <c r="J477" s="158">
        <v>42898</v>
      </c>
      <c r="K477" s="147">
        <f>VLOOKUP(F477,plan3!A$1:H$300,8,FALSE)</f>
        <v>6.5</v>
      </c>
      <c r="L477" s="146">
        <v>42577</v>
      </c>
      <c r="M477" s="154" t="s">
        <v>596</v>
      </c>
      <c r="N477" s="154">
        <v>10</v>
      </c>
      <c r="O477" s="156">
        <f t="shared" si="30"/>
        <v>65</v>
      </c>
      <c r="P477" s="167">
        <v>42970</v>
      </c>
      <c r="Q477" s="154" t="s">
        <v>644</v>
      </c>
      <c r="R477" s="154"/>
      <c r="S477" s="154"/>
      <c r="T477" s="155" t="s">
        <v>601</v>
      </c>
    </row>
    <row r="478" spans="1:20" x14ac:dyDescent="0.25">
      <c r="A478" s="134" t="s">
        <v>206</v>
      </c>
      <c r="B478" s="144" t="s">
        <v>417</v>
      </c>
      <c r="C478" s="134" t="s">
        <v>572</v>
      </c>
      <c r="D478" s="195">
        <v>600000</v>
      </c>
      <c r="E478" s="154" t="s">
        <v>579</v>
      </c>
      <c r="F478" s="154">
        <v>43</v>
      </c>
      <c r="G478" s="134" t="str">
        <f>VLOOKUP(F478,plan3!A$1:H$300,3,FALSE)</f>
        <v>PIPETA GRADUADA ESGOTAMENTO TOTAL 10 ML</v>
      </c>
      <c r="H478" s="155"/>
      <c r="I478" s="154">
        <v>2</v>
      </c>
      <c r="J478" s="158">
        <v>42898</v>
      </c>
      <c r="K478" s="147">
        <f>VLOOKUP(F478,plan3!A$1:H$300,8,FALSE)</f>
        <v>1.82</v>
      </c>
      <c r="L478" s="146">
        <v>42577</v>
      </c>
      <c r="M478" s="154" t="s">
        <v>600</v>
      </c>
      <c r="N478" s="154">
        <v>2</v>
      </c>
      <c r="O478" s="156">
        <f t="shared" ref="O478:O479" si="31">N478*K478</f>
        <v>3.64</v>
      </c>
      <c r="P478" s="167">
        <v>42933</v>
      </c>
      <c r="Q478" s="154" t="s">
        <v>635</v>
      </c>
      <c r="R478" s="154"/>
      <c r="S478" s="154"/>
      <c r="T478" s="155" t="s">
        <v>601</v>
      </c>
    </row>
    <row r="479" spans="1:20" x14ac:dyDescent="0.25">
      <c r="A479" s="144" t="s">
        <v>206</v>
      </c>
      <c r="B479" s="144" t="s">
        <v>417</v>
      </c>
      <c r="C479" s="144" t="s">
        <v>572</v>
      </c>
      <c r="D479" s="195">
        <v>600000</v>
      </c>
      <c r="E479" s="154" t="s">
        <v>579</v>
      </c>
      <c r="F479" s="154">
        <v>50</v>
      </c>
      <c r="G479" s="134" t="str">
        <f>VLOOKUP(F479,plan3!A$1:H$300,3,FALSE)</f>
        <v>PIPETA GRADUADA VIDRO, CAPACIDADE 10 ML</v>
      </c>
      <c r="H479" s="155"/>
      <c r="I479" s="154">
        <v>1</v>
      </c>
      <c r="J479" s="158">
        <v>42898</v>
      </c>
      <c r="K479" s="147">
        <f>VLOOKUP(F479,plan3!A$1:H$300,8,FALSE)</f>
        <v>2.17</v>
      </c>
      <c r="L479" s="146">
        <v>42577</v>
      </c>
      <c r="M479" s="154" t="s">
        <v>600</v>
      </c>
      <c r="N479" s="154">
        <v>1</v>
      </c>
      <c r="O479" s="156">
        <f t="shared" si="31"/>
        <v>2.17</v>
      </c>
      <c r="P479" s="167">
        <v>42933</v>
      </c>
      <c r="Q479" s="154" t="s">
        <v>635</v>
      </c>
      <c r="R479" s="154"/>
      <c r="S479" s="154"/>
      <c r="T479" s="155" t="s">
        <v>601</v>
      </c>
    </row>
    <row r="480" spans="1:20" ht="30" x14ac:dyDescent="0.25">
      <c r="A480" s="134" t="s">
        <v>206</v>
      </c>
      <c r="B480" s="144" t="s">
        <v>417</v>
      </c>
      <c r="C480" s="134" t="s">
        <v>572</v>
      </c>
      <c r="D480" s="195">
        <v>600000</v>
      </c>
      <c r="E480" s="154" t="s">
        <v>579</v>
      </c>
      <c r="F480" s="154">
        <v>90</v>
      </c>
      <c r="G480" s="134" t="str">
        <f>VLOOKUP(F480,plan3!A$1:H$300,3,FALSE)</f>
        <v>PROVETA EM VIDRO GRADUADA COM BASE SEXTAVADA DE POLIETILENO CAPACIDADE 100 ML</v>
      </c>
      <c r="H480" s="155"/>
      <c r="I480" s="154">
        <v>2</v>
      </c>
      <c r="J480" s="158">
        <v>42898</v>
      </c>
      <c r="K480" s="147">
        <f>VLOOKUP(F480,plan3!A$1:H$300,8,FALSE)</f>
        <v>3.35</v>
      </c>
      <c r="L480" s="146">
        <v>42577</v>
      </c>
      <c r="M480" s="154" t="s">
        <v>589</v>
      </c>
      <c r="N480" s="154">
        <v>2</v>
      </c>
      <c r="O480" s="156">
        <f t="shared" ref="O480:O481" si="32">N480*K480</f>
        <v>6.7</v>
      </c>
      <c r="P480" s="169">
        <v>42976</v>
      </c>
      <c r="Q480" s="193" t="s">
        <v>638</v>
      </c>
      <c r="R480" s="154"/>
      <c r="S480" s="154"/>
      <c r="T480" s="155" t="s">
        <v>601</v>
      </c>
    </row>
    <row r="481" spans="1:20" ht="30" x14ac:dyDescent="0.25">
      <c r="A481" s="144" t="s">
        <v>206</v>
      </c>
      <c r="B481" s="144" t="s">
        <v>417</v>
      </c>
      <c r="C481" s="144" t="s">
        <v>572</v>
      </c>
      <c r="D481" s="195">
        <v>600000</v>
      </c>
      <c r="E481" s="154" t="s">
        <v>579</v>
      </c>
      <c r="F481" s="154">
        <v>92</v>
      </c>
      <c r="G481" s="134" t="str">
        <f>VLOOKUP(F481,plan3!A$1:H$300,3,FALSE)</f>
        <v>PROVETA EM VIDRO GRADUADA COM BASE SEXTAVADA DE POLIETILENO CAPACIDADE 50 ML</v>
      </c>
      <c r="H481" s="155"/>
      <c r="I481" s="154">
        <v>2</v>
      </c>
      <c r="J481" s="158">
        <v>42898</v>
      </c>
      <c r="K481" s="147">
        <f>VLOOKUP(F481,plan3!A$1:H$300,8,FALSE)</f>
        <v>5.12</v>
      </c>
      <c r="L481" s="146">
        <v>42577</v>
      </c>
      <c r="M481" s="154" t="s">
        <v>589</v>
      </c>
      <c r="N481" s="154">
        <v>2</v>
      </c>
      <c r="O481" s="156">
        <f t="shared" si="32"/>
        <v>10.24</v>
      </c>
      <c r="P481" s="169">
        <v>42976</v>
      </c>
      <c r="Q481" s="193" t="s">
        <v>638</v>
      </c>
      <c r="R481" s="154"/>
      <c r="S481" s="154"/>
      <c r="T481" s="155" t="s">
        <v>601</v>
      </c>
    </row>
    <row r="482" spans="1:20" x14ac:dyDescent="0.25">
      <c r="A482" s="134" t="s">
        <v>206</v>
      </c>
      <c r="B482" s="144" t="s">
        <v>417</v>
      </c>
      <c r="C482" s="134" t="s">
        <v>572</v>
      </c>
      <c r="D482" s="195">
        <v>600000</v>
      </c>
      <c r="E482" s="154" t="s">
        <v>579</v>
      </c>
      <c r="F482" s="154">
        <v>121</v>
      </c>
      <c r="G482" s="134" t="str">
        <f>VLOOKUP(F482,plan3!A$1:H$300,3,FALSE)</f>
        <v>SUPORTE PARA BURETAS</v>
      </c>
      <c r="H482" s="155"/>
      <c r="I482" s="154">
        <v>1</v>
      </c>
      <c r="J482" s="158">
        <v>42898</v>
      </c>
      <c r="K482" s="147">
        <f>VLOOKUP(F482,plan3!A$1:H$300,8,FALSE)</f>
        <v>42.73</v>
      </c>
      <c r="L482" s="146">
        <v>42577</v>
      </c>
      <c r="M482" s="154" t="s">
        <v>596</v>
      </c>
      <c r="N482" s="154">
        <v>1</v>
      </c>
      <c r="O482" s="156">
        <f>N482*K482</f>
        <v>42.73</v>
      </c>
      <c r="P482" s="167">
        <v>42970</v>
      </c>
      <c r="Q482" s="154" t="s">
        <v>644</v>
      </c>
      <c r="R482" s="154"/>
      <c r="S482" s="154"/>
      <c r="T482" s="155" t="s">
        <v>601</v>
      </c>
    </row>
    <row r="483" spans="1:20" ht="30" x14ac:dyDescent="0.25">
      <c r="A483" s="144" t="s">
        <v>206</v>
      </c>
      <c r="B483" s="144" t="s">
        <v>417</v>
      </c>
      <c r="C483" s="144" t="s">
        <v>572</v>
      </c>
      <c r="D483" s="195">
        <v>190000</v>
      </c>
      <c r="E483" s="154" t="s">
        <v>578</v>
      </c>
      <c r="F483" s="154">
        <v>161</v>
      </c>
      <c r="G483" s="134" t="str">
        <f>VLOOKUP(F483,plan3!A$1:H$300,3,FALSE)</f>
        <v>FRASCO REAGENTE EM VIDRO CAPACIDADE 1000ML COM TAMPA</v>
      </c>
      <c r="H483" s="155"/>
      <c r="I483" s="154">
        <v>4</v>
      </c>
      <c r="J483" s="154"/>
      <c r="K483" s="147">
        <f>VLOOKUP(F483,plan3!A$1:H$300,8,FALSE)</f>
        <v>15</v>
      </c>
      <c r="L483" s="146">
        <v>42577</v>
      </c>
      <c r="M483" s="154" t="s">
        <v>593</v>
      </c>
      <c r="N483" s="154">
        <v>4</v>
      </c>
      <c r="O483" s="156">
        <f t="shared" ref="O483:O484" si="33">K483*N483</f>
        <v>60</v>
      </c>
      <c r="P483" s="169">
        <v>42933</v>
      </c>
      <c r="Q483" s="193" t="s">
        <v>631</v>
      </c>
      <c r="R483" s="154"/>
      <c r="S483" s="154"/>
      <c r="T483" s="155" t="s">
        <v>601</v>
      </c>
    </row>
    <row r="484" spans="1:20" ht="30" x14ac:dyDescent="0.25">
      <c r="A484" s="134" t="s">
        <v>206</v>
      </c>
      <c r="B484" s="144" t="s">
        <v>417</v>
      </c>
      <c r="C484" s="134" t="s">
        <v>572</v>
      </c>
      <c r="D484" s="195">
        <v>220300</v>
      </c>
      <c r="E484" s="154" t="s">
        <v>592</v>
      </c>
      <c r="F484" s="154">
        <v>161</v>
      </c>
      <c r="G484" s="134" t="str">
        <f>VLOOKUP(F484,plan3!A$1:H$300,3,FALSE)</f>
        <v>FRASCO REAGENTE EM VIDRO CAPACIDADE 1000ML COM TAMPA</v>
      </c>
      <c r="H484" s="155"/>
      <c r="I484" s="154">
        <v>30</v>
      </c>
      <c r="J484" s="154"/>
      <c r="K484" s="147">
        <f>VLOOKUP(F484,plan3!A$1:H$300,8,FALSE)</f>
        <v>15</v>
      </c>
      <c r="L484" s="146">
        <v>42577</v>
      </c>
      <c r="M484" s="154" t="s">
        <v>593</v>
      </c>
      <c r="N484" s="154">
        <v>30</v>
      </c>
      <c r="O484" s="156">
        <f t="shared" si="33"/>
        <v>450</v>
      </c>
      <c r="P484" s="169">
        <v>42933</v>
      </c>
      <c r="Q484" s="193" t="s">
        <v>631</v>
      </c>
      <c r="R484" s="154"/>
      <c r="S484" s="154"/>
      <c r="T484" s="155" t="s">
        <v>601</v>
      </c>
    </row>
    <row r="485" spans="1:20" ht="30" x14ac:dyDescent="0.25">
      <c r="A485" s="150" t="s">
        <v>206</v>
      </c>
      <c r="B485" s="150" t="s">
        <v>417</v>
      </c>
      <c r="C485" s="150" t="s">
        <v>572</v>
      </c>
      <c r="D485" s="195">
        <v>220300</v>
      </c>
      <c r="E485" s="154" t="s">
        <v>592</v>
      </c>
      <c r="F485" s="154">
        <v>162</v>
      </c>
      <c r="G485" s="134" t="str">
        <f>VLOOKUP(F485,plan3!A$1:H$300,3,FALSE)</f>
        <v>FRASCO REAGENTE EM VIDRO CAPACIDADE 125ML COM TAMPA</v>
      </c>
      <c r="H485" s="155"/>
      <c r="I485" s="154">
        <v>40</v>
      </c>
      <c r="J485" s="154"/>
      <c r="K485" s="147">
        <f>VLOOKUP(F485,plan3!A$1:H$300,8,FALSE)</f>
        <v>12</v>
      </c>
      <c r="L485" s="146">
        <v>42577</v>
      </c>
      <c r="M485" s="154" t="s">
        <v>593</v>
      </c>
      <c r="N485" s="154">
        <v>40</v>
      </c>
      <c r="O485" s="156">
        <f>K485*N485</f>
        <v>480</v>
      </c>
      <c r="P485" s="169">
        <v>42933</v>
      </c>
      <c r="Q485" s="193" t="s">
        <v>631</v>
      </c>
      <c r="R485" s="154"/>
      <c r="S485" s="154"/>
      <c r="T485" s="155" t="s">
        <v>601</v>
      </c>
    </row>
    <row r="486" spans="1:20" ht="30" x14ac:dyDescent="0.25">
      <c r="A486" s="134" t="s">
        <v>206</v>
      </c>
      <c r="B486" s="144" t="s">
        <v>417</v>
      </c>
      <c r="C486" s="134" t="s">
        <v>572</v>
      </c>
      <c r="D486" s="195">
        <v>220500</v>
      </c>
      <c r="E486" s="154" t="s">
        <v>385</v>
      </c>
      <c r="F486" s="154">
        <v>161</v>
      </c>
      <c r="G486" s="134" t="str">
        <f>VLOOKUP(F486,plan3!A$1:H$300,3,FALSE)</f>
        <v>FRASCO REAGENTE EM VIDRO CAPACIDADE 1000ML COM TAMPA</v>
      </c>
      <c r="H486" s="155"/>
      <c r="I486" s="154">
        <v>1</v>
      </c>
      <c r="J486" s="154"/>
      <c r="K486" s="147">
        <f>VLOOKUP(F486,plan3!A$1:H$300,8,FALSE)</f>
        <v>15</v>
      </c>
      <c r="L486" s="146">
        <v>42577</v>
      </c>
      <c r="M486" s="154" t="s">
        <v>593</v>
      </c>
      <c r="N486" s="154">
        <v>1</v>
      </c>
      <c r="O486" s="156">
        <f t="shared" ref="O486:O487" si="34">K486*N486</f>
        <v>15</v>
      </c>
      <c r="P486" s="169">
        <v>42933</v>
      </c>
      <c r="Q486" s="193" t="s">
        <v>631</v>
      </c>
      <c r="R486" s="154"/>
      <c r="S486" s="154"/>
      <c r="T486" s="155" t="s">
        <v>601</v>
      </c>
    </row>
    <row r="487" spans="1:20" ht="30" x14ac:dyDescent="0.25">
      <c r="A487" s="144" t="s">
        <v>206</v>
      </c>
      <c r="B487" s="144" t="s">
        <v>417</v>
      </c>
      <c r="C487" s="144" t="s">
        <v>572</v>
      </c>
      <c r="D487" s="195">
        <v>270400</v>
      </c>
      <c r="E487" s="154" t="s">
        <v>388</v>
      </c>
      <c r="F487" s="154">
        <v>161</v>
      </c>
      <c r="G487" s="134" t="str">
        <f>VLOOKUP(F487,plan3!A$1:H$300,3,FALSE)</f>
        <v>FRASCO REAGENTE EM VIDRO CAPACIDADE 1000ML COM TAMPA</v>
      </c>
      <c r="H487" s="155"/>
      <c r="I487" s="154">
        <v>10</v>
      </c>
      <c r="J487" s="154"/>
      <c r="K487" s="147">
        <f>VLOOKUP(F487,plan3!A$1:H$300,8,FALSE)</f>
        <v>15</v>
      </c>
      <c r="L487" s="146">
        <v>42577</v>
      </c>
      <c r="M487" s="154" t="s">
        <v>593</v>
      </c>
      <c r="N487" s="154">
        <v>10</v>
      </c>
      <c r="O487" s="156">
        <f t="shared" si="34"/>
        <v>150</v>
      </c>
      <c r="P487" s="169">
        <v>42933</v>
      </c>
      <c r="Q487" s="193" t="s">
        <v>631</v>
      </c>
      <c r="R487" s="154"/>
      <c r="S487" s="154"/>
      <c r="T487" s="155" t="s">
        <v>601</v>
      </c>
    </row>
    <row r="488" spans="1:20" ht="30" x14ac:dyDescent="0.25">
      <c r="A488" s="134" t="s">
        <v>206</v>
      </c>
      <c r="B488" s="144" t="s">
        <v>417</v>
      </c>
      <c r="C488" s="134" t="s">
        <v>572</v>
      </c>
      <c r="D488" s="195">
        <v>270400</v>
      </c>
      <c r="E488" s="154" t="s">
        <v>388</v>
      </c>
      <c r="F488" s="154">
        <v>162</v>
      </c>
      <c r="G488" s="134" t="str">
        <f>VLOOKUP(F488,plan3!A$1:H$300,3,FALSE)</f>
        <v>FRASCO REAGENTE EM VIDRO CAPACIDADE 125ML COM TAMPA</v>
      </c>
      <c r="H488" s="155"/>
      <c r="I488" s="154">
        <v>16</v>
      </c>
      <c r="J488" s="154"/>
      <c r="K488" s="147">
        <f>VLOOKUP(F488,plan3!A$1:H$300,8,FALSE)</f>
        <v>12</v>
      </c>
      <c r="L488" s="146">
        <v>42577</v>
      </c>
      <c r="M488" s="154" t="s">
        <v>593</v>
      </c>
      <c r="N488" s="154">
        <v>16</v>
      </c>
      <c r="O488" s="156">
        <f>K488*N488</f>
        <v>192</v>
      </c>
      <c r="P488" s="169">
        <v>42933</v>
      </c>
      <c r="Q488" s="193" t="s">
        <v>631</v>
      </c>
      <c r="R488" s="154"/>
      <c r="S488" s="154"/>
      <c r="T488" s="155" t="s">
        <v>601</v>
      </c>
    </row>
    <row r="489" spans="1:20" ht="30" x14ac:dyDescent="0.25">
      <c r="A489" s="144" t="s">
        <v>206</v>
      </c>
      <c r="B489" s="144" t="s">
        <v>417</v>
      </c>
      <c r="C489" s="144" t="s">
        <v>572</v>
      </c>
      <c r="D489" s="195">
        <v>230100</v>
      </c>
      <c r="E489" s="154" t="s">
        <v>387</v>
      </c>
      <c r="F489" s="154">
        <v>161</v>
      </c>
      <c r="G489" s="134" t="str">
        <f>VLOOKUP(F489,plan3!A$1:H$300,3,FALSE)</f>
        <v>FRASCO REAGENTE EM VIDRO CAPACIDADE 1000ML COM TAMPA</v>
      </c>
      <c r="H489" s="155"/>
      <c r="I489" s="154">
        <v>10</v>
      </c>
      <c r="J489" s="154"/>
      <c r="K489" s="147">
        <f>VLOOKUP(F489,plan3!A$1:H$300,8,FALSE)</f>
        <v>15</v>
      </c>
      <c r="L489" s="146">
        <v>42577</v>
      </c>
      <c r="M489" s="154" t="s">
        <v>593</v>
      </c>
      <c r="N489" s="154">
        <v>10</v>
      </c>
      <c r="O489" s="156">
        <f>K489*N489</f>
        <v>150</v>
      </c>
      <c r="P489" s="169">
        <v>42933</v>
      </c>
      <c r="Q489" s="193" t="s">
        <v>631</v>
      </c>
      <c r="R489" s="154"/>
      <c r="S489" s="154"/>
      <c r="T489" s="155" t="s">
        <v>601</v>
      </c>
    </row>
    <row r="490" spans="1:20" ht="30" x14ac:dyDescent="0.25">
      <c r="A490" s="134" t="s">
        <v>206</v>
      </c>
      <c r="B490" s="144" t="s">
        <v>417</v>
      </c>
      <c r="C490" s="134" t="s">
        <v>572</v>
      </c>
      <c r="D490" s="195">
        <v>230100</v>
      </c>
      <c r="E490" s="154" t="s">
        <v>387</v>
      </c>
      <c r="F490" s="154">
        <v>162</v>
      </c>
      <c r="G490" s="134" t="str">
        <f>VLOOKUP(F490,plan3!A$1:H$300,3,FALSE)</f>
        <v>FRASCO REAGENTE EM VIDRO CAPACIDADE 125ML COM TAMPA</v>
      </c>
      <c r="H490" s="155"/>
      <c r="I490" s="154">
        <v>10</v>
      </c>
      <c r="J490" s="154"/>
      <c r="K490" s="147">
        <f>VLOOKUP(F490,plan3!A$1:H$300,8,FALSE)</f>
        <v>12</v>
      </c>
      <c r="L490" s="146">
        <v>42577</v>
      </c>
      <c r="M490" s="154" t="s">
        <v>593</v>
      </c>
      <c r="N490" s="154">
        <v>1</v>
      </c>
      <c r="O490" s="156">
        <f>K490*N490</f>
        <v>12</v>
      </c>
      <c r="P490" s="169">
        <v>42933</v>
      </c>
      <c r="Q490" s="193" t="s">
        <v>631</v>
      </c>
      <c r="R490" s="154"/>
      <c r="S490" s="154"/>
      <c r="T490" s="155" t="s">
        <v>601</v>
      </c>
    </row>
    <row r="491" spans="1:20" x14ac:dyDescent="0.25">
      <c r="A491" s="144" t="s">
        <v>206</v>
      </c>
      <c r="B491" s="144" t="s">
        <v>417</v>
      </c>
      <c r="C491" s="144" t="s">
        <v>572</v>
      </c>
      <c r="D491" s="154"/>
      <c r="E491" s="154"/>
      <c r="F491" s="154"/>
      <c r="G491" s="155"/>
      <c r="H491" s="155"/>
      <c r="I491" s="154"/>
      <c r="J491" s="154"/>
      <c r="K491" s="156"/>
      <c r="L491" s="154"/>
      <c r="M491" s="154"/>
      <c r="N491" s="154"/>
      <c r="O491" s="156"/>
      <c r="P491" s="154"/>
      <c r="Q491" s="154"/>
      <c r="R491" s="154"/>
      <c r="S491" s="154"/>
      <c r="T491" s="155"/>
    </row>
    <row r="492" spans="1:20" x14ac:dyDescent="0.25">
      <c r="A492" s="134" t="s">
        <v>206</v>
      </c>
      <c r="B492" s="144" t="s">
        <v>417</v>
      </c>
      <c r="C492" s="134" t="s">
        <v>572</v>
      </c>
      <c r="D492" s="154"/>
      <c r="E492" s="154"/>
      <c r="F492" s="154"/>
      <c r="G492" s="155"/>
      <c r="H492" s="155"/>
      <c r="I492" s="154"/>
      <c r="J492" s="154"/>
      <c r="K492" s="156"/>
      <c r="L492" s="154"/>
      <c r="M492" s="154"/>
      <c r="N492" s="154"/>
      <c r="O492" s="156"/>
      <c r="P492" s="154"/>
      <c r="Q492" s="154"/>
      <c r="R492" s="154"/>
      <c r="S492" s="154"/>
      <c r="T492" s="155"/>
    </row>
    <row r="493" spans="1:20" x14ac:dyDescent="0.25">
      <c r="A493" s="144" t="s">
        <v>206</v>
      </c>
      <c r="B493" s="144" t="s">
        <v>417</v>
      </c>
      <c r="C493" s="144" t="s">
        <v>572</v>
      </c>
      <c r="D493" s="154"/>
      <c r="E493" s="154"/>
      <c r="F493" s="154"/>
      <c r="G493" s="155"/>
      <c r="H493" s="155"/>
      <c r="I493" s="154"/>
      <c r="J493" s="154"/>
      <c r="K493" s="156"/>
      <c r="L493" s="154"/>
      <c r="M493" s="154"/>
      <c r="N493" s="154"/>
      <c r="O493" s="156"/>
      <c r="P493" s="154"/>
      <c r="Q493" s="154"/>
      <c r="R493" s="154"/>
      <c r="S493" s="154"/>
      <c r="T493" s="155"/>
    </row>
    <row r="494" spans="1:20" x14ac:dyDescent="0.25">
      <c r="A494" s="134" t="s">
        <v>206</v>
      </c>
      <c r="B494" s="144" t="s">
        <v>417</v>
      </c>
      <c r="C494" s="134" t="s">
        <v>572</v>
      </c>
      <c r="D494" s="154"/>
      <c r="E494" s="154"/>
      <c r="F494" s="154"/>
      <c r="G494" s="155"/>
      <c r="H494" s="155"/>
      <c r="I494" s="154"/>
      <c r="J494" s="154"/>
      <c r="K494" s="156"/>
      <c r="L494" s="154"/>
      <c r="M494" s="154"/>
      <c r="N494" s="154"/>
      <c r="O494" s="156"/>
      <c r="P494" s="154"/>
      <c r="Q494" s="154"/>
      <c r="R494" s="154"/>
      <c r="S494" s="154"/>
      <c r="T494" s="155"/>
    </row>
    <row r="495" spans="1:20" x14ac:dyDescent="0.25">
      <c r="A495" s="150" t="s">
        <v>206</v>
      </c>
      <c r="B495" s="150" t="s">
        <v>417</v>
      </c>
      <c r="C495" s="150" t="s">
        <v>572</v>
      </c>
      <c r="D495" s="154"/>
      <c r="E495" s="154"/>
      <c r="F495" s="154"/>
      <c r="G495" s="155"/>
      <c r="H495" s="155"/>
      <c r="I495" s="154"/>
      <c r="J495" s="154"/>
      <c r="K495" s="156"/>
      <c r="L495" s="154"/>
      <c r="M495" s="154"/>
      <c r="N495" s="154"/>
      <c r="O495" s="156"/>
      <c r="P495" s="154"/>
      <c r="Q495" s="154"/>
      <c r="R495" s="154"/>
      <c r="S495" s="154"/>
      <c r="T495" s="155"/>
    </row>
    <row r="496" spans="1:20" x14ac:dyDescent="0.25">
      <c r="A496" s="134" t="s">
        <v>206</v>
      </c>
      <c r="B496" s="144" t="s">
        <v>417</v>
      </c>
      <c r="C496" s="134" t="s">
        <v>572</v>
      </c>
      <c r="D496" s="154"/>
      <c r="E496" s="154"/>
      <c r="F496" s="154"/>
      <c r="G496" s="155"/>
      <c r="H496" s="155"/>
      <c r="I496" s="154"/>
      <c r="J496" s="154"/>
      <c r="K496" s="156"/>
      <c r="L496" s="154"/>
      <c r="M496" s="154"/>
      <c r="N496" s="154"/>
      <c r="O496" s="156"/>
      <c r="P496" s="154"/>
      <c r="Q496" s="154"/>
      <c r="R496" s="154"/>
      <c r="S496" s="154"/>
      <c r="T496" s="155"/>
    </row>
    <row r="497" spans="1:20" x14ac:dyDescent="0.25">
      <c r="A497" s="144" t="s">
        <v>206</v>
      </c>
      <c r="B497" s="144" t="s">
        <v>417</v>
      </c>
      <c r="C497" s="144" t="s">
        <v>572</v>
      </c>
      <c r="D497" s="154"/>
      <c r="E497" s="154"/>
      <c r="F497" s="154"/>
      <c r="G497" s="155"/>
      <c r="H497" s="155"/>
      <c r="I497" s="154"/>
      <c r="J497" s="154"/>
      <c r="K497" s="156"/>
      <c r="L497" s="154"/>
      <c r="M497" s="154"/>
      <c r="N497" s="154"/>
      <c r="O497" s="156"/>
      <c r="P497" s="154"/>
      <c r="Q497" s="154"/>
      <c r="R497" s="154"/>
      <c r="S497" s="154"/>
      <c r="T497" s="155"/>
    </row>
    <row r="498" spans="1:20" x14ac:dyDescent="0.25">
      <c r="A498" s="134" t="s">
        <v>206</v>
      </c>
      <c r="B498" s="144" t="s">
        <v>417</v>
      </c>
      <c r="C498" s="134" t="s">
        <v>572</v>
      </c>
      <c r="D498" s="154"/>
      <c r="E498" s="154"/>
      <c r="F498" s="154"/>
      <c r="G498" s="155"/>
      <c r="H498" s="155"/>
      <c r="I498" s="154"/>
      <c r="J498" s="154"/>
      <c r="K498" s="156"/>
      <c r="L498" s="154"/>
      <c r="M498" s="154"/>
      <c r="N498" s="154"/>
      <c r="O498" s="156"/>
      <c r="P498" s="154"/>
      <c r="Q498" s="154"/>
      <c r="R498" s="154"/>
      <c r="S498" s="154"/>
      <c r="T498" s="155"/>
    </row>
    <row r="499" spans="1:20" x14ac:dyDescent="0.25">
      <c r="A499" s="144" t="s">
        <v>206</v>
      </c>
      <c r="B499" s="144" t="s">
        <v>417</v>
      </c>
      <c r="C499" s="144" t="s">
        <v>572</v>
      </c>
      <c r="D499" s="154"/>
      <c r="E499" s="154"/>
      <c r="F499" s="154"/>
      <c r="G499" s="155"/>
      <c r="H499" s="155"/>
      <c r="I499" s="154"/>
      <c r="J499" s="154"/>
      <c r="K499" s="156"/>
      <c r="L499" s="154"/>
      <c r="M499" s="154"/>
      <c r="N499" s="154"/>
      <c r="O499" s="156"/>
      <c r="P499" s="154"/>
      <c r="Q499" s="154"/>
      <c r="R499" s="154"/>
      <c r="S499" s="154"/>
      <c r="T499" s="155"/>
    </row>
    <row r="500" spans="1:20" x14ac:dyDescent="0.25">
      <c r="A500" s="134" t="s">
        <v>206</v>
      </c>
      <c r="B500" s="144" t="s">
        <v>417</v>
      </c>
      <c r="C500" s="134" t="s">
        <v>572</v>
      </c>
      <c r="D500" s="154"/>
      <c r="E500" s="154"/>
      <c r="F500" s="154"/>
      <c r="G500" s="155"/>
      <c r="H500" s="155"/>
      <c r="I500" s="154"/>
      <c r="J500" s="154"/>
      <c r="K500" s="156"/>
      <c r="L500" s="154"/>
      <c r="M500" s="154"/>
      <c r="N500" s="154"/>
      <c r="O500" s="156"/>
      <c r="P500" s="154"/>
      <c r="Q500" s="154"/>
      <c r="R500" s="154"/>
      <c r="S500" s="154"/>
      <c r="T500" s="155"/>
    </row>
    <row r="501" spans="1:20" x14ac:dyDescent="0.25">
      <c r="A501" s="134" t="s">
        <v>206</v>
      </c>
      <c r="B501" s="144" t="s">
        <v>417</v>
      </c>
      <c r="C501" s="134" t="s">
        <v>572</v>
      </c>
    </row>
    <row r="502" spans="1:20" x14ac:dyDescent="0.25">
      <c r="A502" s="134" t="s">
        <v>206</v>
      </c>
      <c r="B502" s="144" t="s">
        <v>417</v>
      </c>
      <c r="C502" s="134" t="s">
        <v>572</v>
      </c>
    </row>
    <row r="503" spans="1:20" x14ac:dyDescent="0.25">
      <c r="A503" s="134" t="s">
        <v>206</v>
      </c>
      <c r="B503" s="144" t="s">
        <v>417</v>
      </c>
      <c r="C503" s="134" t="s">
        <v>572</v>
      </c>
    </row>
    <row r="504" spans="1:20" x14ac:dyDescent="0.25">
      <c r="A504" s="134" t="s">
        <v>206</v>
      </c>
      <c r="B504" s="144" t="s">
        <v>417</v>
      </c>
      <c r="C504" s="134" t="s">
        <v>572</v>
      </c>
    </row>
    <row r="505" spans="1:20" x14ac:dyDescent="0.25">
      <c r="A505" s="134" t="s">
        <v>206</v>
      </c>
      <c r="B505" s="144" t="s">
        <v>417</v>
      </c>
      <c r="C505" s="134" t="s">
        <v>572</v>
      </c>
    </row>
    <row r="506" spans="1:20" x14ac:dyDescent="0.25">
      <c r="A506" s="134" t="s">
        <v>206</v>
      </c>
      <c r="B506" s="144" t="s">
        <v>417</v>
      </c>
      <c r="C506" s="134" t="s">
        <v>572</v>
      </c>
    </row>
    <row r="507" spans="1:20" x14ac:dyDescent="0.25">
      <c r="A507" s="134" t="s">
        <v>206</v>
      </c>
      <c r="B507" s="144" t="s">
        <v>417</v>
      </c>
      <c r="C507" s="134" t="s">
        <v>572</v>
      </c>
    </row>
    <row r="508" spans="1:20" x14ac:dyDescent="0.25">
      <c r="A508" s="134" t="s">
        <v>206</v>
      </c>
      <c r="B508" s="144" t="s">
        <v>417</v>
      </c>
      <c r="C508" s="134" t="s">
        <v>572</v>
      </c>
    </row>
    <row r="509" spans="1:20" x14ac:dyDescent="0.25">
      <c r="A509" s="134" t="s">
        <v>206</v>
      </c>
      <c r="B509" s="144" t="s">
        <v>417</v>
      </c>
      <c r="C509" s="134" t="s">
        <v>572</v>
      </c>
    </row>
    <row r="510" spans="1:20" x14ac:dyDescent="0.25">
      <c r="A510" s="134" t="s">
        <v>206</v>
      </c>
      <c r="B510" s="144" t="s">
        <v>417</v>
      </c>
      <c r="C510" s="134" t="s">
        <v>572</v>
      </c>
    </row>
    <row r="511" spans="1:20" x14ac:dyDescent="0.25">
      <c r="A511" s="134" t="s">
        <v>206</v>
      </c>
      <c r="B511" s="144" t="s">
        <v>417</v>
      </c>
      <c r="C511" s="134" t="s">
        <v>572</v>
      </c>
    </row>
    <row r="512" spans="1:20" x14ac:dyDescent="0.25">
      <c r="A512" s="134" t="s">
        <v>206</v>
      </c>
      <c r="B512" s="144" t="s">
        <v>417</v>
      </c>
      <c r="C512" s="134" t="s">
        <v>572</v>
      </c>
    </row>
    <row r="513" spans="1:3" x14ac:dyDescent="0.25">
      <c r="A513" s="134" t="s">
        <v>206</v>
      </c>
      <c r="B513" s="144" t="s">
        <v>417</v>
      </c>
      <c r="C513" s="134" t="s">
        <v>572</v>
      </c>
    </row>
    <row r="514" spans="1:3" x14ac:dyDescent="0.25">
      <c r="A514" s="134" t="s">
        <v>206</v>
      </c>
      <c r="B514" s="144" t="s">
        <v>417</v>
      </c>
      <c r="C514" s="134" t="s">
        <v>572</v>
      </c>
    </row>
    <row r="515" spans="1:3" x14ac:dyDescent="0.25">
      <c r="A515" s="134" t="s">
        <v>206</v>
      </c>
      <c r="B515" s="144" t="s">
        <v>417</v>
      </c>
      <c r="C515" s="134" t="s">
        <v>572</v>
      </c>
    </row>
    <row r="516" spans="1:3" x14ac:dyDescent="0.25">
      <c r="A516" s="134" t="s">
        <v>206</v>
      </c>
      <c r="B516" s="144" t="s">
        <v>417</v>
      </c>
      <c r="C516" s="134" t="s">
        <v>572</v>
      </c>
    </row>
    <row r="517" spans="1:3" x14ac:dyDescent="0.25">
      <c r="A517" s="134" t="s">
        <v>206</v>
      </c>
      <c r="B517" s="144" t="s">
        <v>417</v>
      </c>
      <c r="C517" s="134" t="s">
        <v>572</v>
      </c>
    </row>
    <row r="518" spans="1:3" x14ac:dyDescent="0.25">
      <c r="A518" s="134" t="s">
        <v>206</v>
      </c>
      <c r="B518" s="144" t="s">
        <v>417</v>
      </c>
      <c r="C518" s="134" t="s">
        <v>572</v>
      </c>
    </row>
    <row r="519" spans="1:3" x14ac:dyDescent="0.25">
      <c r="A519" s="134" t="s">
        <v>206</v>
      </c>
      <c r="B519" s="144" t="s">
        <v>417</v>
      </c>
      <c r="C519" s="134" t="s">
        <v>572</v>
      </c>
    </row>
    <row r="520" spans="1:3" x14ac:dyDescent="0.25">
      <c r="A520" s="134" t="s">
        <v>206</v>
      </c>
      <c r="B520" s="144" t="s">
        <v>417</v>
      </c>
      <c r="C520" s="134" t="s">
        <v>572</v>
      </c>
    </row>
    <row r="521" spans="1:3" x14ac:dyDescent="0.25">
      <c r="A521" s="134" t="s">
        <v>206</v>
      </c>
      <c r="B521" s="144" t="s">
        <v>417</v>
      </c>
      <c r="C521" s="134" t="s">
        <v>572</v>
      </c>
    </row>
    <row r="522" spans="1:3" x14ac:dyDescent="0.25">
      <c r="A522" s="134" t="s">
        <v>206</v>
      </c>
      <c r="B522" s="144" t="s">
        <v>417</v>
      </c>
      <c r="C522" s="134" t="s">
        <v>572</v>
      </c>
    </row>
    <row r="523" spans="1:3" x14ac:dyDescent="0.25">
      <c r="A523" s="134" t="s">
        <v>206</v>
      </c>
      <c r="B523" s="144" t="s">
        <v>417</v>
      </c>
      <c r="C523" s="134" t="s">
        <v>572</v>
      </c>
    </row>
    <row r="524" spans="1:3" x14ac:dyDescent="0.25">
      <c r="A524" s="134" t="s">
        <v>206</v>
      </c>
      <c r="B524" s="144" t="s">
        <v>417</v>
      </c>
      <c r="C524" s="134" t="s">
        <v>572</v>
      </c>
    </row>
    <row r="525" spans="1:3" x14ac:dyDescent="0.25">
      <c r="A525" s="134" t="s">
        <v>206</v>
      </c>
      <c r="B525" s="144" t="s">
        <v>417</v>
      </c>
      <c r="C525" s="134" t="s">
        <v>572</v>
      </c>
    </row>
    <row r="526" spans="1:3" x14ac:dyDescent="0.25">
      <c r="A526" s="134" t="s">
        <v>206</v>
      </c>
      <c r="B526" s="144" t="s">
        <v>417</v>
      </c>
      <c r="C526" s="134" t="s">
        <v>572</v>
      </c>
    </row>
    <row r="527" spans="1:3" x14ac:dyDescent="0.25">
      <c r="A527" s="134" t="s">
        <v>206</v>
      </c>
      <c r="B527" s="144" t="s">
        <v>417</v>
      </c>
      <c r="C527" s="134" t="s">
        <v>572</v>
      </c>
    </row>
    <row r="528" spans="1:3" x14ac:dyDescent="0.25">
      <c r="A528" s="134" t="s">
        <v>206</v>
      </c>
      <c r="B528" s="144" t="s">
        <v>417</v>
      </c>
      <c r="C528" s="134" t="s">
        <v>572</v>
      </c>
    </row>
    <row r="529" spans="1:17" x14ac:dyDescent="0.25">
      <c r="A529" s="134" t="s">
        <v>206</v>
      </c>
      <c r="B529" s="144" t="s">
        <v>417</v>
      </c>
      <c r="C529" s="134" t="s">
        <v>572</v>
      </c>
    </row>
    <row r="530" spans="1:17" x14ac:dyDescent="0.25">
      <c r="A530" s="134" t="s">
        <v>206</v>
      </c>
      <c r="B530" s="144" t="s">
        <v>417</v>
      </c>
      <c r="C530" s="134" t="s">
        <v>572</v>
      </c>
    </row>
    <row r="531" spans="1:17" x14ac:dyDescent="0.25">
      <c r="Q531" s="154"/>
    </row>
  </sheetData>
  <sheetProtection algorithmName="SHA-512" hashValue="hqO3DqSGtcIaouMAG7vOWYeOjB5zHCYyPDR+YlQ5IRYgod231bgbU0VBbC7Y97dZf32UeNZIREpk6Y1wMgW/TQ==" saltValue="5+WcFceDyaB0Ih98Xt98Uw==" spinCount="100000" sheet="1" objects="1" scenarios="1" selectLockedCells="1"/>
  <autoFilter ref="A1:T530"/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showGridLines="0" tabSelected="1" workbookViewId="0">
      <selection sqref="A1:E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65.25" customHeight="1" x14ac:dyDescent="0.25">
      <c r="A1" s="214" t="s">
        <v>201</v>
      </c>
      <c r="B1" s="215"/>
      <c r="C1" s="215"/>
      <c r="D1" s="215"/>
      <c r="E1" s="215"/>
      <c r="F1" s="97"/>
      <c r="G1" s="97"/>
      <c r="H1" s="97"/>
      <c r="I1" s="97"/>
      <c r="J1" s="97"/>
      <c r="K1" s="97"/>
      <c r="L1" s="97"/>
      <c r="M1" s="97"/>
      <c r="N1" s="97"/>
    </row>
    <row r="2" spans="1:14" ht="63" customHeight="1" x14ac:dyDescent="0.25">
      <c r="A2" s="216" t="s">
        <v>202</v>
      </c>
      <c r="B2" s="216"/>
      <c r="C2" s="216"/>
      <c r="D2" s="216"/>
      <c r="E2" s="216"/>
    </row>
    <row r="3" spans="1:14" ht="42.75" customHeight="1" x14ac:dyDescent="0.25"/>
  </sheetData>
  <sheetProtection algorithmName="SHA-512" hashValue="6iovxh8p2kPKLn/inTy5tmZtdlQRHWHq+hcQedFTm7YefT/ZQDtkauODgooZnOhA8pvil2aJHxixEFuhSljlEA==" saltValue="8OCr2/YV1LgxAQ3LA2B8sw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showGridLines="0" workbookViewId="0"/>
  </sheetViews>
  <sheetFormatPr defaultRowHeight="15" x14ac:dyDescent="0.25"/>
  <cols>
    <col min="1" max="1" width="70.28515625" customWidth="1"/>
    <col min="2" max="2" width="14.42578125" style="75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18</v>
      </c>
      <c r="B1" s="78"/>
      <c r="G1" s="217"/>
    </row>
    <row r="2" spans="1:12" ht="16.5" thickTop="1" thickBot="1" x14ac:dyDescent="0.3">
      <c r="A2" s="133" t="s">
        <v>3</v>
      </c>
      <c r="B2" s="111">
        <v>180000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440</v>
      </c>
      <c r="B5" s="105" t="s">
        <v>205</v>
      </c>
      <c r="C5" s="105" t="s">
        <v>399</v>
      </c>
      <c r="D5" s="106">
        <v>42830</v>
      </c>
      <c r="E5" s="106">
        <v>42894</v>
      </c>
      <c r="F5" s="105" t="s">
        <v>601</v>
      </c>
      <c r="G5" s="80">
        <v>1</v>
      </c>
      <c r="H5" s="81">
        <v>1</v>
      </c>
      <c r="I5" s="82">
        <v>178</v>
      </c>
      <c r="J5"/>
      <c r="L5"/>
    </row>
    <row r="6" spans="1:12" s="83" customFormat="1" x14ac:dyDescent="0.25">
      <c r="A6" s="104" t="s">
        <v>438</v>
      </c>
      <c r="B6" s="105" t="s">
        <v>205</v>
      </c>
      <c r="C6" s="105" t="s">
        <v>396</v>
      </c>
      <c r="D6" s="106">
        <v>42830</v>
      </c>
      <c r="E6" s="106">
        <v>42859</v>
      </c>
      <c r="F6" s="105" t="s">
        <v>601</v>
      </c>
      <c r="G6" s="84">
        <v>2</v>
      </c>
      <c r="H6" s="85">
        <v>2</v>
      </c>
      <c r="I6" s="86">
        <v>13.76</v>
      </c>
      <c r="K6"/>
    </row>
    <row r="7" spans="1:12" s="83" customFormat="1" ht="45" x14ac:dyDescent="0.25">
      <c r="A7" s="104" t="s">
        <v>516</v>
      </c>
      <c r="B7" s="105" t="s">
        <v>205</v>
      </c>
      <c r="C7" s="105" t="s">
        <v>409</v>
      </c>
      <c r="D7" s="106">
        <v>42759</v>
      </c>
      <c r="E7" s="106">
        <v>42838</v>
      </c>
      <c r="F7" s="105" t="s">
        <v>601</v>
      </c>
      <c r="G7" s="84">
        <v>10</v>
      </c>
      <c r="H7" s="85">
        <v>10</v>
      </c>
      <c r="I7" s="86">
        <v>232</v>
      </c>
    </row>
    <row r="8" spans="1:12" s="87" customFormat="1" x14ac:dyDescent="0.25">
      <c r="A8" s="104" t="s">
        <v>443</v>
      </c>
      <c r="B8" s="105" t="s">
        <v>205</v>
      </c>
      <c r="C8" s="105" t="s">
        <v>396</v>
      </c>
      <c r="D8" s="106">
        <v>42830</v>
      </c>
      <c r="E8" s="106">
        <v>42859</v>
      </c>
      <c r="F8" s="105" t="s">
        <v>601</v>
      </c>
      <c r="G8" s="84">
        <v>5</v>
      </c>
      <c r="H8" s="85">
        <v>5</v>
      </c>
      <c r="I8" s="86">
        <v>49.25</v>
      </c>
    </row>
    <row r="9" spans="1:12" s="87" customFormat="1" ht="30" x14ac:dyDescent="0.25">
      <c r="A9" s="104" t="s">
        <v>441</v>
      </c>
      <c r="B9" s="105" t="s">
        <v>205</v>
      </c>
      <c r="C9" s="105" t="s">
        <v>400</v>
      </c>
      <c r="D9" s="106">
        <v>42830</v>
      </c>
      <c r="E9" s="106">
        <v>42872</v>
      </c>
      <c r="F9" s="105" t="s">
        <v>601</v>
      </c>
      <c r="G9" s="84">
        <v>5</v>
      </c>
      <c r="H9" s="85">
        <v>5</v>
      </c>
      <c r="I9" s="86">
        <v>9.9</v>
      </c>
    </row>
    <row r="10" spans="1:12" s="90" customFormat="1" ht="45" x14ac:dyDescent="0.25">
      <c r="A10" s="104" t="s">
        <v>518</v>
      </c>
      <c r="B10" s="105" t="s">
        <v>205</v>
      </c>
      <c r="C10" s="105" t="s">
        <v>409</v>
      </c>
      <c r="D10" s="106">
        <v>42759</v>
      </c>
      <c r="E10" s="106">
        <v>42838</v>
      </c>
      <c r="F10" s="105" t="s">
        <v>601</v>
      </c>
      <c r="G10" s="84">
        <v>10</v>
      </c>
      <c r="H10" s="85">
        <v>10</v>
      </c>
      <c r="I10" s="86">
        <v>179.5</v>
      </c>
    </row>
    <row r="11" spans="1:12" x14ac:dyDescent="0.25">
      <c r="A11" s="104" t="s">
        <v>451</v>
      </c>
      <c r="B11" s="105" t="s">
        <v>205</v>
      </c>
      <c r="C11" s="105" t="s">
        <v>396</v>
      </c>
      <c r="D11" s="106">
        <v>42830</v>
      </c>
      <c r="E11" s="106">
        <v>42859</v>
      </c>
      <c r="F11" s="105" t="s">
        <v>601</v>
      </c>
      <c r="G11" s="84">
        <v>6</v>
      </c>
      <c r="H11" s="85">
        <v>6</v>
      </c>
      <c r="I11" s="86">
        <v>13.919999999999998</v>
      </c>
    </row>
    <row r="12" spans="1:12" ht="30" x14ac:dyDescent="0.25">
      <c r="A12" s="104" t="s">
        <v>452</v>
      </c>
      <c r="B12" s="105" t="s">
        <v>205</v>
      </c>
      <c r="C12" s="105" t="s">
        <v>397</v>
      </c>
      <c r="D12" s="106">
        <v>42830</v>
      </c>
      <c r="E12" s="106">
        <v>42913</v>
      </c>
      <c r="F12" s="105" t="s">
        <v>601</v>
      </c>
      <c r="G12" s="84">
        <v>1</v>
      </c>
      <c r="H12" s="85">
        <v>1</v>
      </c>
      <c r="I12" s="86">
        <v>204.99</v>
      </c>
    </row>
    <row r="13" spans="1:12" x14ac:dyDescent="0.25">
      <c r="A13" s="104" t="s">
        <v>489</v>
      </c>
      <c r="B13" s="105" t="s">
        <v>205</v>
      </c>
      <c r="C13" s="105" t="s">
        <v>410</v>
      </c>
      <c r="D13" s="106">
        <v>42759</v>
      </c>
      <c r="E13" s="106">
        <v>42844</v>
      </c>
      <c r="F13" s="105" t="s">
        <v>601</v>
      </c>
      <c r="G13" s="84">
        <v>1</v>
      </c>
      <c r="H13" s="85">
        <v>1</v>
      </c>
      <c r="I13" s="86">
        <v>88</v>
      </c>
    </row>
    <row r="14" spans="1:12" ht="30" x14ac:dyDescent="0.25">
      <c r="A14" s="104" t="s">
        <v>513</v>
      </c>
      <c r="B14" s="105" t="s">
        <v>205</v>
      </c>
      <c r="C14" s="105" t="s">
        <v>409</v>
      </c>
      <c r="D14" s="106">
        <v>42759</v>
      </c>
      <c r="E14" s="106">
        <v>42838</v>
      </c>
      <c r="F14" s="105" t="s">
        <v>601</v>
      </c>
      <c r="G14" s="84">
        <v>10</v>
      </c>
      <c r="H14" s="85">
        <v>10</v>
      </c>
      <c r="I14" s="86">
        <v>54.2</v>
      </c>
    </row>
    <row r="15" spans="1:12" x14ac:dyDescent="0.25">
      <c r="A15" s="104" t="s">
        <v>514</v>
      </c>
      <c r="B15" s="105" t="s">
        <v>205</v>
      </c>
      <c r="C15" s="105" t="s">
        <v>409</v>
      </c>
      <c r="D15" s="106">
        <v>42759</v>
      </c>
      <c r="E15" s="106">
        <v>42838</v>
      </c>
      <c r="F15" s="105" t="s">
        <v>601</v>
      </c>
      <c r="G15" s="84">
        <v>10</v>
      </c>
      <c r="H15" s="85">
        <v>10</v>
      </c>
      <c r="I15" s="86">
        <v>189.5</v>
      </c>
    </row>
    <row r="16" spans="1:12" ht="75" x14ac:dyDescent="0.25">
      <c r="A16" s="104" t="s">
        <v>515</v>
      </c>
      <c r="B16" s="105" t="s">
        <v>205</v>
      </c>
      <c r="C16" s="105" t="s">
        <v>409</v>
      </c>
      <c r="D16" s="106">
        <v>42759</v>
      </c>
      <c r="E16" s="106">
        <v>42838</v>
      </c>
      <c r="F16" s="105" t="s">
        <v>615</v>
      </c>
      <c r="G16" s="84">
        <v>10</v>
      </c>
      <c r="H16" s="85">
        <v>5</v>
      </c>
      <c r="I16" s="86">
        <v>3.95</v>
      </c>
    </row>
    <row r="17" spans="1:9" ht="30" x14ac:dyDescent="0.25">
      <c r="A17" s="104" t="s">
        <v>445</v>
      </c>
      <c r="B17" s="105" t="s">
        <v>205</v>
      </c>
      <c r="C17" s="105" t="s">
        <v>396</v>
      </c>
      <c r="D17" s="106">
        <v>42830</v>
      </c>
      <c r="E17" s="106">
        <v>42859</v>
      </c>
      <c r="F17" s="105" t="s">
        <v>601</v>
      </c>
      <c r="G17" s="84">
        <v>5</v>
      </c>
      <c r="H17" s="85">
        <v>5</v>
      </c>
      <c r="I17" s="86">
        <v>36</v>
      </c>
    </row>
    <row r="18" spans="1:9" ht="30" x14ac:dyDescent="0.25">
      <c r="A18" s="104" t="s">
        <v>467</v>
      </c>
      <c r="B18" s="105" t="s">
        <v>205</v>
      </c>
      <c r="C18" s="105" t="s">
        <v>409</v>
      </c>
      <c r="D18" s="106">
        <v>42759</v>
      </c>
      <c r="E18" s="106">
        <v>42838</v>
      </c>
      <c r="F18" s="105" t="s">
        <v>601</v>
      </c>
      <c r="G18" s="84">
        <v>6</v>
      </c>
      <c r="H18" s="85">
        <v>6</v>
      </c>
      <c r="I18" s="86">
        <v>48.599999999999994</v>
      </c>
    </row>
    <row r="19" spans="1:9" ht="45" x14ac:dyDescent="0.25">
      <c r="A19" s="104" t="s">
        <v>485</v>
      </c>
      <c r="B19" s="105" t="s">
        <v>205</v>
      </c>
      <c r="C19" s="105" t="s">
        <v>205</v>
      </c>
      <c r="D19" s="106" t="s">
        <v>205</v>
      </c>
      <c r="E19" s="105" t="s">
        <v>205</v>
      </c>
      <c r="F19" s="105" t="s">
        <v>403</v>
      </c>
      <c r="G19" s="84">
        <v>10</v>
      </c>
      <c r="H19" s="85"/>
      <c r="I19" s="86">
        <v>0</v>
      </c>
    </row>
    <row r="20" spans="1:9" ht="45" x14ac:dyDescent="0.25">
      <c r="A20" s="104" t="s">
        <v>454</v>
      </c>
      <c r="B20" s="105" t="s">
        <v>205</v>
      </c>
      <c r="C20" s="105" t="s">
        <v>396</v>
      </c>
      <c r="D20" s="106">
        <v>41734</v>
      </c>
      <c r="E20" s="106">
        <v>42859</v>
      </c>
      <c r="F20" s="105" t="s">
        <v>601</v>
      </c>
      <c r="G20" s="84">
        <v>5</v>
      </c>
      <c r="H20" s="85">
        <v>5</v>
      </c>
      <c r="I20" s="86">
        <v>29.950000000000003</v>
      </c>
    </row>
    <row r="21" spans="1:9" x14ac:dyDescent="0.25">
      <c r="A21" s="104" t="s">
        <v>439</v>
      </c>
      <c r="B21" s="105" t="s">
        <v>205</v>
      </c>
      <c r="C21" s="105" t="s">
        <v>396</v>
      </c>
      <c r="D21" s="106">
        <v>42830</v>
      </c>
      <c r="E21" s="106">
        <v>42859</v>
      </c>
      <c r="F21" s="105" t="s">
        <v>601</v>
      </c>
      <c r="G21" s="84">
        <v>2</v>
      </c>
      <c r="H21" s="85">
        <v>2</v>
      </c>
      <c r="I21" s="86">
        <v>29.76</v>
      </c>
    </row>
    <row r="22" spans="1:9" ht="30" x14ac:dyDescent="0.25">
      <c r="A22" s="104" t="s">
        <v>442</v>
      </c>
      <c r="B22" s="105" t="s">
        <v>205</v>
      </c>
      <c r="C22" s="105" t="s">
        <v>396</v>
      </c>
      <c r="D22" s="106">
        <v>42830</v>
      </c>
      <c r="E22" s="106">
        <v>42859</v>
      </c>
      <c r="F22" s="105" t="s">
        <v>601</v>
      </c>
      <c r="G22" s="84">
        <v>2</v>
      </c>
      <c r="H22" s="85">
        <v>2</v>
      </c>
      <c r="I22" s="86">
        <v>48</v>
      </c>
    </row>
    <row r="23" spans="1:9" ht="30" x14ac:dyDescent="0.25">
      <c r="A23" s="104" t="s">
        <v>495</v>
      </c>
      <c r="B23" s="105" t="s">
        <v>205</v>
      </c>
      <c r="C23" s="105" t="s">
        <v>409</v>
      </c>
      <c r="D23" s="106">
        <v>42759</v>
      </c>
      <c r="E23" s="106">
        <v>42838</v>
      </c>
      <c r="F23" s="105" t="s">
        <v>601</v>
      </c>
      <c r="G23" s="84">
        <v>1</v>
      </c>
      <c r="H23" s="85">
        <v>1</v>
      </c>
      <c r="I23" s="86">
        <v>319</v>
      </c>
    </row>
    <row r="24" spans="1:9" ht="30" x14ac:dyDescent="0.25">
      <c r="A24" s="104" t="s">
        <v>450</v>
      </c>
      <c r="B24" s="105" t="s">
        <v>205</v>
      </c>
      <c r="C24" s="105" t="s">
        <v>396</v>
      </c>
      <c r="D24" s="106">
        <v>42830</v>
      </c>
      <c r="E24" s="106">
        <v>42859</v>
      </c>
      <c r="F24" s="105" t="s">
        <v>601</v>
      </c>
      <c r="G24" s="84">
        <v>2</v>
      </c>
      <c r="H24" s="85">
        <v>2</v>
      </c>
      <c r="I24" s="86">
        <v>204</v>
      </c>
    </row>
    <row r="25" spans="1:9" x14ac:dyDescent="0.25">
      <c r="A25" s="104" t="s">
        <v>455</v>
      </c>
      <c r="B25" s="105" t="s">
        <v>205</v>
      </c>
      <c r="C25" s="105" t="s">
        <v>396</v>
      </c>
      <c r="D25" s="106">
        <v>42830</v>
      </c>
      <c r="E25" s="106">
        <v>42859</v>
      </c>
      <c r="F25" s="105" t="s">
        <v>601</v>
      </c>
      <c r="G25" s="84">
        <v>1</v>
      </c>
      <c r="H25" s="85">
        <v>1</v>
      </c>
      <c r="I25" s="86">
        <v>1020</v>
      </c>
    </row>
    <row r="26" spans="1:9" ht="30" x14ac:dyDescent="0.25">
      <c r="A26" s="104" t="s">
        <v>447</v>
      </c>
      <c r="B26" s="105" t="s">
        <v>205</v>
      </c>
      <c r="C26" s="105" t="s">
        <v>396</v>
      </c>
      <c r="D26" s="106">
        <v>42830</v>
      </c>
      <c r="E26" s="106">
        <v>42859</v>
      </c>
      <c r="F26" s="105" t="s">
        <v>601</v>
      </c>
      <c r="G26" s="84">
        <v>10</v>
      </c>
      <c r="H26" s="85">
        <v>10</v>
      </c>
      <c r="I26" s="86">
        <v>21.5</v>
      </c>
    </row>
    <row r="27" spans="1:9" ht="30" x14ac:dyDescent="0.25">
      <c r="A27" s="104" t="s">
        <v>446</v>
      </c>
      <c r="B27" s="105" t="s">
        <v>205</v>
      </c>
      <c r="C27" s="105" t="s">
        <v>396</v>
      </c>
      <c r="D27" s="106">
        <v>42830</v>
      </c>
      <c r="E27" s="106">
        <v>42859</v>
      </c>
      <c r="F27" s="105" t="s">
        <v>601</v>
      </c>
      <c r="G27" s="84">
        <v>5</v>
      </c>
      <c r="H27" s="85">
        <v>5</v>
      </c>
      <c r="I27" s="86">
        <v>24.35</v>
      </c>
    </row>
    <row r="28" spans="1:9" ht="45" x14ac:dyDescent="0.25">
      <c r="A28" s="104" t="s">
        <v>453</v>
      </c>
      <c r="B28" s="105" t="s">
        <v>205</v>
      </c>
      <c r="C28" s="105" t="s">
        <v>396</v>
      </c>
      <c r="D28" s="106">
        <v>42830</v>
      </c>
      <c r="E28" s="106">
        <v>42859</v>
      </c>
      <c r="F28" s="105" t="s">
        <v>601</v>
      </c>
      <c r="G28" s="84">
        <v>5</v>
      </c>
      <c r="H28" s="85">
        <v>5</v>
      </c>
      <c r="I28" s="86">
        <v>11</v>
      </c>
    </row>
    <row r="29" spans="1:9" x14ac:dyDescent="0.25">
      <c r="A29" s="104" t="s">
        <v>519</v>
      </c>
      <c r="B29" s="105" t="s">
        <v>205</v>
      </c>
      <c r="C29" s="105" t="s">
        <v>409</v>
      </c>
      <c r="D29" s="106">
        <v>42759</v>
      </c>
      <c r="E29" s="106">
        <v>42838</v>
      </c>
      <c r="F29" s="105" t="s">
        <v>601</v>
      </c>
      <c r="G29" s="84">
        <v>10</v>
      </c>
      <c r="H29" s="85">
        <v>10</v>
      </c>
      <c r="I29" s="86">
        <v>134.9</v>
      </c>
    </row>
    <row r="30" spans="1:9" ht="30" x14ac:dyDescent="0.25">
      <c r="A30" s="104" t="s">
        <v>449</v>
      </c>
      <c r="B30" s="105" t="s">
        <v>205</v>
      </c>
      <c r="C30" s="105" t="s">
        <v>399</v>
      </c>
      <c r="D30" s="106">
        <v>42830</v>
      </c>
      <c r="E30" s="106">
        <v>42894</v>
      </c>
      <c r="F30" s="105" t="s">
        <v>601</v>
      </c>
      <c r="G30" s="84">
        <v>5</v>
      </c>
      <c r="H30" s="85">
        <v>5</v>
      </c>
      <c r="I30" s="86">
        <v>28.5</v>
      </c>
    </row>
    <row r="31" spans="1:9" ht="30" x14ac:dyDescent="0.25">
      <c r="A31" s="104" t="s">
        <v>448</v>
      </c>
      <c r="B31" s="105" t="s">
        <v>205</v>
      </c>
      <c r="C31" s="105" t="s">
        <v>400</v>
      </c>
      <c r="D31" s="106">
        <v>42830</v>
      </c>
      <c r="E31" s="106">
        <v>42872</v>
      </c>
      <c r="F31" s="105" t="s">
        <v>601</v>
      </c>
      <c r="G31" s="84">
        <v>10</v>
      </c>
      <c r="H31" s="85">
        <v>10</v>
      </c>
      <c r="I31" s="86">
        <v>35.200000000000003</v>
      </c>
    </row>
    <row r="32" spans="1:9" ht="30" x14ac:dyDescent="0.25">
      <c r="A32" s="104" t="s">
        <v>444</v>
      </c>
      <c r="B32" s="105" t="s">
        <v>205</v>
      </c>
      <c r="C32" s="105" t="s">
        <v>396</v>
      </c>
      <c r="D32" s="106">
        <v>42830</v>
      </c>
      <c r="E32" s="106">
        <v>42859</v>
      </c>
      <c r="F32" s="105" t="s">
        <v>601</v>
      </c>
      <c r="G32" s="84">
        <v>5</v>
      </c>
      <c r="H32" s="85">
        <v>5</v>
      </c>
      <c r="I32" s="86">
        <v>19.950000000000003</v>
      </c>
    </row>
    <row r="33" spans="1:9" ht="75" x14ac:dyDescent="0.25">
      <c r="A33" s="104" t="s">
        <v>517</v>
      </c>
      <c r="B33" s="105" t="s">
        <v>205</v>
      </c>
      <c r="C33" s="105" t="s">
        <v>409</v>
      </c>
      <c r="D33" s="106">
        <v>42739</v>
      </c>
      <c r="E33" s="106">
        <v>42838</v>
      </c>
      <c r="F33" s="105" t="s">
        <v>615</v>
      </c>
      <c r="G33" s="84">
        <v>10</v>
      </c>
      <c r="H33" s="85">
        <v>3</v>
      </c>
      <c r="I33" s="86">
        <v>14.850000000000001</v>
      </c>
    </row>
    <row r="34" spans="1:9" x14ac:dyDescent="0.25">
      <c r="A34" s="104" t="s">
        <v>538</v>
      </c>
      <c r="B34" s="105" t="s">
        <v>205</v>
      </c>
      <c r="C34" s="105" t="s">
        <v>425</v>
      </c>
      <c r="D34" s="106">
        <v>42835</v>
      </c>
      <c r="E34" s="106">
        <v>42895</v>
      </c>
      <c r="F34" s="105" t="s">
        <v>601</v>
      </c>
      <c r="G34" s="84">
        <v>200</v>
      </c>
      <c r="H34" s="85">
        <v>200</v>
      </c>
      <c r="I34" s="86">
        <v>56.000000000000007</v>
      </c>
    </row>
    <row r="35" spans="1:9" ht="135" x14ac:dyDescent="0.25">
      <c r="A35" s="104" t="s">
        <v>539</v>
      </c>
      <c r="B35" s="105" t="s">
        <v>205</v>
      </c>
      <c r="C35" s="105" t="s">
        <v>425</v>
      </c>
      <c r="D35" s="106">
        <v>42835</v>
      </c>
      <c r="E35" s="106">
        <v>42895</v>
      </c>
      <c r="F35" s="105" t="s">
        <v>601</v>
      </c>
      <c r="G35" s="84">
        <v>1</v>
      </c>
      <c r="H35" s="85">
        <v>1</v>
      </c>
      <c r="I35" s="86">
        <v>296.99</v>
      </c>
    </row>
    <row r="36" spans="1:9" ht="135" x14ac:dyDescent="0.25">
      <c r="A36" s="104" t="s">
        <v>539</v>
      </c>
      <c r="B36" s="105">
        <v>418</v>
      </c>
      <c r="C36" s="105" t="s">
        <v>585</v>
      </c>
      <c r="D36" s="106">
        <v>42577</v>
      </c>
      <c r="E36" s="106">
        <v>42942</v>
      </c>
      <c r="F36" s="105" t="s">
        <v>601</v>
      </c>
      <c r="G36" s="84">
        <v>1</v>
      </c>
      <c r="H36" s="85">
        <v>1</v>
      </c>
      <c r="I36" s="86">
        <v>296.99</v>
      </c>
    </row>
    <row r="37" spans="1:9" ht="30" x14ac:dyDescent="0.25">
      <c r="A37" s="104" t="s">
        <v>540</v>
      </c>
      <c r="B37" s="105" t="s">
        <v>205</v>
      </c>
      <c r="C37" s="105" t="s">
        <v>424</v>
      </c>
      <c r="D37" s="106">
        <v>42835</v>
      </c>
      <c r="E37" s="106">
        <v>42878</v>
      </c>
      <c r="F37" s="105" t="s">
        <v>601</v>
      </c>
      <c r="G37" s="84">
        <v>1</v>
      </c>
      <c r="H37" s="85">
        <v>1</v>
      </c>
      <c r="I37" s="86">
        <v>113.5</v>
      </c>
    </row>
    <row r="38" spans="1:9" x14ac:dyDescent="0.25">
      <c r="A38" s="104" t="s">
        <v>541</v>
      </c>
      <c r="B38" s="105" t="s">
        <v>205</v>
      </c>
      <c r="C38" s="105" t="s">
        <v>426</v>
      </c>
      <c r="D38" s="106">
        <v>42835</v>
      </c>
      <c r="E38" s="106">
        <v>42898</v>
      </c>
      <c r="F38" s="105" t="s">
        <v>601</v>
      </c>
      <c r="G38" s="84">
        <v>10</v>
      </c>
      <c r="H38" s="85">
        <v>10</v>
      </c>
      <c r="I38" s="86">
        <v>18.2</v>
      </c>
    </row>
    <row r="39" spans="1:9" x14ac:dyDescent="0.25">
      <c r="A39" s="104" t="s">
        <v>541</v>
      </c>
      <c r="B39" s="105">
        <v>418</v>
      </c>
      <c r="C39" s="105" t="s">
        <v>586</v>
      </c>
      <c r="D39" s="106">
        <v>42577</v>
      </c>
      <c r="E39" s="106">
        <v>42933</v>
      </c>
      <c r="F39" s="105" t="s">
        <v>601</v>
      </c>
      <c r="G39" s="84">
        <v>10</v>
      </c>
      <c r="H39" s="85">
        <v>10</v>
      </c>
      <c r="I39" s="86">
        <v>18.2</v>
      </c>
    </row>
    <row r="40" spans="1:9" x14ac:dyDescent="0.25">
      <c r="A40" s="104" t="s">
        <v>542</v>
      </c>
      <c r="B40" s="105" t="s">
        <v>205</v>
      </c>
      <c r="C40" s="105" t="s">
        <v>426</v>
      </c>
      <c r="D40" s="106">
        <v>42835</v>
      </c>
      <c r="E40" s="106">
        <v>42898</v>
      </c>
      <c r="F40" s="105" t="s">
        <v>601</v>
      </c>
      <c r="G40" s="84">
        <v>10</v>
      </c>
      <c r="H40" s="85">
        <v>10</v>
      </c>
      <c r="I40" s="86">
        <v>39.5</v>
      </c>
    </row>
    <row r="41" spans="1:9" x14ac:dyDescent="0.25">
      <c r="A41" s="104" t="s">
        <v>543</v>
      </c>
      <c r="B41" s="105" t="s">
        <v>205</v>
      </c>
      <c r="C41" s="105" t="s">
        <v>426</v>
      </c>
      <c r="D41" s="106">
        <v>42835</v>
      </c>
      <c r="E41" s="106">
        <v>42898</v>
      </c>
      <c r="F41" s="105" t="s">
        <v>601</v>
      </c>
      <c r="G41" s="84">
        <v>15</v>
      </c>
      <c r="H41" s="85">
        <v>15</v>
      </c>
      <c r="I41" s="86">
        <v>25.049999999999997</v>
      </c>
    </row>
    <row r="42" spans="1:9" x14ac:dyDescent="0.25">
      <c r="A42" s="104" t="s">
        <v>544</v>
      </c>
      <c r="B42" s="105" t="s">
        <v>205</v>
      </c>
      <c r="C42" s="105" t="s">
        <v>426</v>
      </c>
      <c r="D42" s="106">
        <v>42835</v>
      </c>
      <c r="E42" s="106">
        <v>42898</v>
      </c>
      <c r="F42" s="105" t="s">
        <v>601</v>
      </c>
      <c r="G42" s="84">
        <v>10</v>
      </c>
      <c r="H42" s="85">
        <v>10</v>
      </c>
      <c r="I42" s="86">
        <v>22.9</v>
      </c>
    </row>
    <row r="43" spans="1:9" x14ac:dyDescent="0.25">
      <c r="A43" s="104" t="s">
        <v>544</v>
      </c>
      <c r="B43" s="105">
        <v>418</v>
      </c>
      <c r="C43" s="105" t="s">
        <v>586</v>
      </c>
      <c r="D43" s="106">
        <v>42577</v>
      </c>
      <c r="E43" s="106">
        <v>42933</v>
      </c>
      <c r="F43" s="105" t="s">
        <v>601</v>
      </c>
      <c r="G43" s="84">
        <v>10</v>
      </c>
      <c r="H43" s="85">
        <v>10</v>
      </c>
      <c r="I43" s="86">
        <v>22.9</v>
      </c>
    </row>
    <row r="44" spans="1:9" x14ac:dyDescent="0.25">
      <c r="A44" s="104" t="s">
        <v>545</v>
      </c>
      <c r="B44" s="105" t="s">
        <v>205</v>
      </c>
      <c r="C44" s="105" t="s">
        <v>427</v>
      </c>
      <c r="D44" s="106">
        <v>42835</v>
      </c>
      <c r="E44" s="106">
        <v>42892</v>
      </c>
      <c r="F44" s="105" t="s">
        <v>601</v>
      </c>
      <c r="G44" s="84">
        <v>15</v>
      </c>
      <c r="H44" s="85">
        <v>15</v>
      </c>
      <c r="I44" s="86">
        <v>62.55</v>
      </c>
    </row>
    <row r="45" spans="1:9" ht="45" x14ac:dyDescent="0.25">
      <c r="A45" s="104" t="s">
        <v>546</v>
      </c>
      <c r="B45" s="105" t="s">
        <v>205</v>
      </c>
      <c r="C45" s="105" t="s">
        <v>423</v>
      </c>
      <c r="D45" s="106">
        <v>42835</v>
      </c>
      <c r="E45" s="106">
        <v>42914</v>
      </c>
      <c r="F45" s="105" t="s">
        <v>601</v>
      </c>
      <c r="G45" s="84">
        <v>1</v>
      </c>
      <c r="H45" s="85">
        <v>1</v>
      </c>
      <c r="I45" s="86">
        <v>25</v>
      </c>
    </row>
    <row r="46" spans="1:9" ht="45" x14ac:dyDescent="0.25">
      <c r="A46" s="104" t="s">
        <v>546</v>
      </c>
      <c r="B46" s="105">
        <v>418</v>
      </c>
      <c r="C46" s="105" t="s">
        <v>583</v>
      </c>
      <c r="D46" s="106">
        <v>42577</v>
      </c>
      <c r="E46" s="106">
        <v>42933</v>
      </c>
      <c r="F46" s="105" t="s">
        <v>601</v>
      </c>
      <c r="G46" s="84">
        <v>1</v>
      </c>
      <c r="H46" s="85">
        <v>1</v>
      </c>
      <c r="I46" s="86">
        <v>25</v>
      </c>
    </row>
    <row r="47" spans="1:9" x14ac:dyDescent="0.25">
      <c r="A47" s="104" t="s">
        <v>547</v>
      </c>
      <c r="B47" s="105" t="s">
        <v>205</v>
      </c>
      <c r="C47" s="105" t="s">
        <v>427</v>
      </c>
      <c r="D47" s="106">
        <v>42835</v>
      </c>
      <c r="E47" s="106">
        <v>42892</v>
      </c>
      <c r="F47" s="105" t="s">
        <v>601</v>
      </c>
      <c r="G47" s="84">
        <v>1</v>
      </c>
      <c r="H47" s="85">
        <v>1</v>
      </c>
      <c r="I47" s="86">
        <v>88.53</v>
      </c>
    </row>
    <row r="48" spans="1:9" x14ac:dyDescent="0.25">
      <c r="A48" s="104" t="s">
        <v>547</v>
      </c>
      <c r="B48" s="105">
        <v>418</v>
      </c>
      <c r="C48" s="105" t="s">
        <v>587</v>
      </c>
      <c r="D48" s="106">
        <v>42577</v>
      </c>
      <c r="E48" s="106">
        <v>42970</v>
      </c>
      <c r="F48" s="105" t="s">
        <v>601</v>
      </c>
      <c r="G48" s="84">
        <v>2</v>
      </c>
      <c r="H48" s="85">
        <v>1</v>
      </c>
      <c r="I48" s="86">
        <v>88.53</v>
      </c>
    </row>
    <row r="49" spans="1:9" x14ac:dyDescent="0.25">
      <c r="A49" s="104" t="s">
        <v>548</v>
      </c>
      <c r="B49" s="105" t="s">
        <v>205</v>
      </c>
      <c r="C49" s="105" t="s">
        <v>427</v>
      </c>
      <c r="D49" s="106">
        <v>42835</v>
      </c>
      <c r="E49" s="106">
        <v>42892</v>
      </c>
      <c r="F49" s="105" t="s">
        <v>601</v>
      </c>
      <c r="G49" s="84">
        <v>5</v>
      </c>
      <c r="H49" s="85">
        <v>5</v>
      </c>
      <c r="I49" s="86">
        <v>108.25</v>
      </c>
    </row>
    <row r="50" spans="1:9" x14ac:dyDescent="0.25">
      <c r="A50" s="104" t="s">
        <v>548</v>
      </c>
      <c r="B50" s="105">
        <v>418</v>
      </c>
      <c r="C50" s="105" t="s">
        <v>587</v>
      </c>
      <c r="D50" s="106">
        <v>42577</v>
      </c>
      <c r="E50" s="106">
        <v>42970</v>
      </c>
      <c r="F50" s="105" t="s">
        <v>601</v>
      </c>
      <c r="G50" s="84">
        <v>10</v>
      </c>
      <c r="H50" s="85">
        <v>10</v>
      </c>
      <c r="I50" s="86">
        <v>216.5</v>
      </c>
    </row>
    <row r="51" spans="1:9" x14ac:dyDescent="0.25">
      <c r="A51" s="104" t="s">
        <v>549</v>
      </c>
      <c r="B51" s="105" t="s">
        <v>205</v>
      </c>
      <c r="C51" s="105" t="s">
        <v>422</v>
      </c>
      <c r="D51" s="106">
        <v>42835</v>
      </c>
      <c r="E51" s="106">
        <v>42898</v>
      </c>
      <c r="F51" s="105" t="s">
        <v>601</v>
      </c>
      <c r="G51" s="84">
        <v>5</v>
      </c>
      <c r="H51" s="85">
        <v>5</v>
      </c>
      <c r="I51" s="86">
        <v>170.95</v>
      </c>
    </row>
    <row r="52" spans="1:9" x14ac:dyDescent="0.25">
      <c r="A52" s="104" t="s">
        <v>549</v>
      </c>
      <c r="B52" s="105">
        <v>418</v>
      </c>
      <c r="C52" s="105" t="s">
        <v>581</v>
      </c>
      <c r="D52" s="106">
        <v>42577</v>
      </c>
      <c r="E52" s="106">
        <v>42954</v>
      </c>
      <c r="F52" s="105" t="s">
        <v>601</v>
      </c>
      <c r="G52" s="84">
        <v>3</v>
      </c>
      <c r="H52" s="85">
        <v>3</v>
      </c>
      <c r="I52" s="86">
        <v>102.57</v>
      </c>
    </row>
    <row r="53" spans="1:9" ht="75" x14ac:dyDescent="0.25">
      <c r="A53" s="104" t="s">
        <v>550</v>
      </c>
      <c r="B53" s="105" t="s">
        <v>205</v>
      </c>
      <c r="C53" s="105" t="s">
        <v>428</v>
      </c>
      <c r="D53" s="106">
        <v>42835</v>
      </c>
      <c r="E53" s="105" t="s">
        <v>205</v>
      </c>
      <c r="F53" s="105" t="s">
        <v>622</v>
      </c>
      <c r="G53" s="84">
        <v>1</v>
      </c>
      <c r="H53" s="85">
        <v>1</v>
      </c>
      <c r="I53" s="86">
        <v>7.0000000000000007E-2</v>
      </c>
    </row>
    <row r="54" spans="1:9" x14ac:dyDescent="0.25">
      <c r="A54" s="104" t="s">
        <v>550</v>
      </c>
      <c r="B54" s="105">
        <v>418</v>
      </c>
      <c r="C54" s="105" t="s">
        <v>205</v>
      </c>
      <c r="D54" s="106">
        <v>42577</v>
      </c>
      <c r="E54" s="105" t="s">
        <v>205</v>
      </c>
      <c r="F54" s="105" t="s">
        <v>205</v>
      </c>
      <c r="G54" s="84">
        <v>1</v>
      </c>
      <c r="H54" s="85"/>
      <c r="I54" s="86"/>
    </row>
    <row r="55" spans="1:9" ht="30" x14ac:dyDescent="0.25">
      <c r="A55" s="104" t="s">
        <v>555</v>
      </c>
      <c r="B55" s="105">
        <v>418</v>
      </c>
      <c r="C55" s="105" t="s">
        <v>584</v>
      </c>
      <c r="D55" s="106">
        <v>42577</v>
      </c>
      <c r="E55" s="105" t="s">
        <v>633</v>
      </c>
      <c r="F55" s="105" t="s">
        <v>647</v>
      </c>
      <c r="G55" s="84">
        <v>1</v>
      </c>
      <c r="H55" s="85">
        <v>1</v>
      </c>
      <c r="I55" s="86">
        <v>689</v>
      </c>
    </row>
    <row r="56" spans="1:9" ht="45" x14ac:dyDescent="0.25">
      <c r="A56" s="104" t="s">
        <v>558</v>
      </c>
      <c r="B56" s="105">
        <v>418</v>
      </c>
      <c r="C56" s="105" t="s">
        <v>588</v>
      </c>
      <c r="D56" s="106">
        <v>42577</v>
      </c>
      <c r="E56" s="106">
        <v>42940</v>
      </c>
      <c r="F56" s="105" t="s">
        <v>601</v>
      </c>
      <c r="G56" s="84">
        <v>5</v>
      </c>
      <c r="H56" s="85">
        <v>5</v>
      </c>
      <c r="I56" s="86">
        <v>24.65</v>
      </c>
    </row>
    <row r="57" spans="1:9" x14ac:dyDescent="0.25">
      <c r="A57" s="104" t="s">
        <v>570</v>
      </c>
      <c r="B57" s="105">
        <v>418</v>
      </c>
      <c r="C57" s="105" t="s">
        <v>587</v>
      </c>
      <c r="D57" s="106">
        <v>42577</v>
      </c>
      <c r="E57" s="106">
        <v>42970</v>
      </c>
      <c r="F57" s="105" t="s">
        <v>601</v>
      </c>
      <c r="G57" s="84">
        <v>5</v>
      </c>
      <c r="H57" s="85">
        <v>5</v>
      </c>
      <c r="I57" s="86">
        <v>213.64999999999998</v>
      </c>
    </row>
    <row r="58" spans="1:9" x14ac:dyDescent="0.25">
      <c r="A58" s="104" t="s">
        <v>571</v>
      </c>
      <c r="B58" s="105">
        <v>418</v>
      </c>
      <c r="C58" s="105" t="s">
        <v>581</v>
      </c>
      <c r="D58" s="106">
        <v>42577</v>
      </c>
      <c r="E58" s="106">
        <v>42954</v>
      </c>
      <c r="F58" s="105" t="s">
        <v>601</v>
      </c>
      <c r="G58" s="84">
        <v>2</v>
      </c>
      <c r="H58" s="85">
        <v>2</v>
      </c>
      <c r="I58" s="86">
        <v>340</v>
      </c>
    </row>
    <row r="59" spans="1:9" x14ac:dyDescent="0.25">
      <c r="A59" s="104" t="s">
        <v>368</v>
      </c>
      <c r="B59" s="105">
        <v>418</v>
      </c>
      <c r="C59" s="105" t="s">
        <v>582</v>
      </c>
      <c r="D59" s="106">
        <v>42577</v>
      </c>
      <c r="E59" s="106">
        <v>42933</v>
      </c>
      <c r="F59" s="105" t="s">
        <v>601</v>
      </c>
      <c r="G59" s="84">
        <v>10</v>
      </c>
      <c r="H59" s="85">
        <v>10</v>
      </c>
      <c r="I59" s="86">
        <v>150</v>
      </c>
    </row>
    <row r="60" spans="1:9" x14ac:dyDescent="0.25">
      <c r="A60" s="104" t="s">
        <v>369</v>
      </c>
      <c r="B60" s="105">
        <v>418</v>
      </c>
      <c r="C60" s="105" t="s">
        <v>582</v>
      </c>
      <c r="D60" s="106">
        <v>42577</v>
      </c>
      <c r="E60" s="106">
        <v>42933</v>
      </c>
      <c r="F60" s="105" t="s">
        <v>601</v>
      </c>
      <c r="G60" s="84">
        <v>5</v>
      </c>
      <c r="H60" s="85">
        <v>5</v>
      </c>
      <c r="I60" s="86">
        <v>60</v>
      </c>
    </row>
    <row r="61" spans="1:9" ht="30" x14ac:dyDescent="0.25">
      <c r="A61" s="104" t="s">
        <v>297</v>
      </c>
      <c r="B61" s="105">
        <v>418</v>
      </c>
      <c r="C61" s="105" t="s">
        <v>580</v>
      </c>
      <c r="D61" s="106">
        <v>42577</v>
      </c>
      <c r="E61" s="106">
        <v>43055</v>
      </c>
      <c r="F61" s="105" t="s">
        <v>601</v>
      </c>
      <c r="G61" s="84">
        <v>5</v>
      </c>
      <c r="H61" s="85">
        <v>5</v>
      </c>
      <c r="I61" s="86">
        <v>16.75</v>
      </c>
    </row>
    <row r="62" spans="1:9" ht="30" x14ac:dyDescent="0.25">
      <c r="A62" s="104" t="s">
        <v>296</v>
      </c>
      <c r="B62" s="105">
        <v>418</v>
      </c>
      <c r="C62" s="105" t="s">
        <v>580</v>
      </c>
      <c r="D62" s="106">
        <v>42577</v>
      </c>
      <c r="E62" s="106">
        <v>43055</v>
      </c>
      <c r="F62" s="105" t="s">
        <v>601</v>
      </c>
      <c r="G62" s="84">
        <v>20</v>
      </c>
      <c r="H62" s="85">
        <v>20</v>
      </c>
      <c r="I62" s="86">
        <v>92.2</v>
      </c>
    </row>
    <row r="63" spans="1:9" ht="30" x14ac:dyDescent="0.25">
      <c r="A63" s="104" t="s">
        <v>301</v>
      </c>
      <c r="B63" s="105">
        <v>418</v>
      </c>
      <c r="C63" s="105" t="s">
        <v>580</v>
      </c>
      <c r="D63" s="106">
        <v>42577</v>
      </c>
      <c r="E63" s="106">
        <v>43055</v>
      </c>
      <c r="F63" s="105" t="s">
        <v>601</v>
      </c>
      <c r="G63" s="84">
        <v>15</v>
      </c>
      <c r="H63" s="85">
        <v>15</v>
      </c>
      <c r="I63" s="86">
        <v>67.350000000000009</v>
      </c>
    </row>
    <row r="64" spans="1:9" ht="45" x14ac:dyDescent="0.25">
      <c r="A64" s="104" t="s">
        <v>355</v>
      </c>
      <c r="B64" s="105">
        <v>418</v>
      </c>
      <c r="C64" s="105" t="s">
        <v>587</v>
      </c>
      <c r="D64" s="106">
        <v>42577</v>
      </c>
      <c r="E64" s="106">
        <v>42970</v>
      </c>
      <c r="F64" s="105" t="s">
        <v>601</v>
      </c>
      <c r="G64" s="84">
        <v>10</v>
      </c>
      <c r="H64" s="85">
        <v>10</v>
      </c>
      <c r="I64" s="86">
        <v>174.8</v>
      </c>
    </row>
    <row r="65" spans="1:9" ht="15.75" thickBot="1" x14ac:dyDescent="0.3">
      <c r="A65" s="104" t="s">
        <v>356</v>
      </c>
      <c r="B65" s="105">
        <v>418</v>
      </c>
      <c r="C65" s="105" t="s">
        <v>587</v>
      </c>
      <c r="D65" s="106">
        <v>42577</v>
      </c>
      <c r="E65" s="106">
        <v>42970</v>
      </c>
      <c r="F65" s="105" t="s">
        <v>601</v>
      </c>
      <c r="G65" s="84">
        <v>10</v>
      </c>
      <c r="H65" s="85">
        <v>10</v>
      </c>
      <c r="I65" s="86">
        <v>174.8</v>
      </c>
    </row>
    <row r="66" spans="1:9" ht="16.5" thickTop="1" thickBot="1" x14ac:dyDescent="0.3">
      <c r="A66" s="107" t="s">
        <v>199</v>
      </c>
      <c r="B66" s="108"/>
      <c r="C66" s="108"/>
      <c r="D66" s="108"/>
      <c r="E66" s="108"/>
      <c r="F66" s="109"/>
      <c r="G66" s="88">
        <v>566</v>
      </c>
      <c r="H66" s="96">
        <v>542</v>
      </c>
      <c r="I66" s="89">
        <v>7043.9099999999971</v>
      </c>
    </row>
    <row r="67" spans="1:9" ht="15.75" thickTop="1" x14ac:dyDescent="0.25">
      <c r="B67"/>
      <c r="C67"/>
      <c r="D67"/>
      <c r="E67"/>
    </row>
    <row r="68" spans="1:9" x14ac:dyDescent="0.25">
      <c r="B68"/>
      <c r="C68"/>
      <c r="D68"/>
      <c r="E68"/>
    </row>
    <row r="69" spans="1:9" x14ac:dyDescent="0.25">
      <c r="B69"/>
      <c r="C69"/>
      <c r="D69"/>
      <c r="E69"/>
    </row>
    <row r="70" spans="1:9" x14ac:dyDescent="0.25">
      <c r="B70"/>
      <c r="C70"/>
      <c r="D70"/>
      <c r="E70"/>
    </row>
    <row r="71" spans="1:9" x14ac:dyDescent="0.25">
      <c r="B71"/>
      <c r="C71"/>
      <c r="D71"/>
      <c r="E71"/>
    </row>
    <row r="72" spans="1:9" x14ac:dyDescent="0.25">
      <c r="B72"/>
      <c r="C72"/>
      <c r="D72"/>
      <c r="E72"/>
    </row>
    <row r="73" spans="1:9" x14ac:dyDescent="0.25">
      <c r="B73"/>
      <c r="C73"/>
      <c r="D73"/>
      <c r="E73"/>
    </row>
    <row r="74" spans="1:9" x14ac:dyDescent="0.25">
      <c r="B74"/>
      <c r="C74"/>
      <c r="D74"/>
      <c r="E74"/>
    </row>
    <row r="75" spans="1:9" x14ac:dyDescent="0.25">
      <c r="B75"/>
      <c r="C75"/>
      <c r="D75"/>
      <c r="E75"/>
    </row>
    <row r="76" spans="1:9" x14ac:dyDescent="0.25">
      <c r="B76"/>
      <c r="C76"/>
      <c r="D76"/>
      <c r="E76"/>
    </row>
    <row r="77" spans="1:9" x14ac:dyDescent="0.25">
      <c r="B77"/>
      <c r="C77"/>
      <c r="D77"/>
      <c r="E77"/>
    </row>
    <row r="78" spans="1:9" x14ac:dyDescent="0.25">
      <c r="B78"/>
      <c r="C78"/>
      <c r="D78"/>
      <c r="E78"/>
    </row>
    <row r="79" spans="1:9" x14ac:dyDescent="0.25">
      <c r="B79"/>
      <c r="C79"/>
      <c r="D79"/>
      <c r="E79"/>
    </row>
    <row r="80" spans="1:9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ht="15.75" thickBot="1" x14ac:dyDescent="0.3">
      <c r="B225"/>
      <c r="C225"/>
      <c r="D225"/>
      <c r="E225"/>
    </row>
    <row r="226" spans="2:5" ht="16.5" thickTop="1" thickBot="1" x14ac:dyDescent="0.3">
      <c r="B226"/>
      <c r="C226"/>
      <c r="D226"/>
      <c r="E226"/>
    </row>
    <row r="227" spans="2:5" ht="15.75" thickTop="1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ht="15.75" thickBot="1" x14ac:dyDescent="0.3">
      <c r="B1002"/>
      <c r="C1002"/>
      <c r="D1002"/>
      <c r="E1002"/>
    </row>
    <row r="1003" spans="2:5" ht="16.5" thickTop="1" thickBot="1" x14ac:dyDescent="0.3">
      <c r="B1003"/>
      <c r="C1003"/>
      <c r="D1003"/>
      <c r="E1003"/>
    </row>
    <row r="1004" spans="2:5" ht="15.75" thickTop="1" x14ac:dyDescent="0.25"/>
  </sheetData>
  <sheetProtection algorithmName="SHA-512" hashValue="VBEsdms6dPMrSasv/KK9uJ49mxcSrxmLk48PKnBSkp8FACsvosZmhTeTwx91jiNyGBHVpWifrX9au0I8xvSHeA==" saltValue="wkK1+99iafsA5uxxJel9B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383</v>
      </c>
      <c r="B1" s="78"/>
      <c r="G1" s="217"/>
    </row>
    <row r="2" spans="1:12" ht="16.5" thickTop="1" thickBot="1" x14ac:dyDescent="0.3">
      <c r="A2" s="133" t="s">
        <v>3</v>
      </c>
      <c r="B2" s="111">
        <v>190000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443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4</v>
      </c>
      <c r="H5" s="81">
        <v>4</v>
      </c>
      <c r="I5" s="82">
        <v>39.4</v>
      </c>
      <c r="J5"/>
      <c r="L5"/>
    </row>
    <row r="6" spans="1:12" s="83" customFormat="1" ht="45" x14ac:dyDescent="0.25">
      <c r="A6" s="104" t="s">
        <v>475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4</v>
      </c>
      <c r="H6" s="85">
        <v>4</v>
      </c>
      <c r="I6" s="86">
        <v>25.2</v>
      </c>
      <c r="K6"/>
    </row>
    <row r="7" spans="1:12" s="83" customFormat="1" ht="45" x14ac:dyDescent="0.25">
      <c r="A7" s="104" t="s">
        <v>474</v>
      </c>
      <c r="B7" s="105" t="s">
        <v>205</v>
      </c>
      <c r="C7" s="105" t="s">
        <v>402</v>
      </c>
      <c r="D7" s="106">
        <v>42830</v>
      </c>
      <c r="E7" s="106">
        <v>42859</v>
      </c>
      <c r="F7" s="105" t="s">
        <v>601</v>
      </c>
      <c r="G7" s="84">
        <v>2</v>
      </c>
      <c r="H7" s="85">
        <v>2</v>
      </c>
      <c r="I7" s="86">
        <v>8.1</v>
      </c>
    </row>
    <row r="8" spans="1:12" s="87" customFormat="1" x14ac:dyDescent="0.25">
      <c r="A8" s="104" t="s">
        <v>451</v>
      </c>
      <c r="B8" s="105" t="s">
        <v>205</v>
      </c>
      <c r="C8" s="105" t="s">
        <v>402</v>
      </c>
      <c r="D8" s="106">
        <v>42830</v>
      </c>
      <c r="E8" s="106">
        <v>42859</v>
      </c>
      <c r="F8" s="105" t="s">
        <v>601</v>
      </c>
      <c r="G8" s="84">
        <v>6</v>
      </c>
      <c r="H8" s="85">
        <v>6</v>
      </c>
      <c r="I8" s="86">
        <v>13.919999999999998</v>
      </c>
    </row>
    <row r="9" spans="1:12" s="87" customFormat="1" ht="30" x14ac:dyDescent="0.25">
      <c r="A9" s="104" t="s">
        <v>452</v>
      </c>
      <c r="B9" s="105" t="s">
        <v>205</v>
      </c>
      <c r="C9" s="105" t="s">
        <v>393</v>
      </c>
      <c r="D9" s="106" t="s">
        <v>398</v>
      </c>
      <c r="E9" s="106">
        <v>42920</v>
      </c>
      <c r="F9" s="105" t="s">
        <v>601</v>
      </c>
      <c r="G9" s="84">
        <v>1</v>
      </c>
      <c r="H9" s="85">
        <v>1</v>
      </c>
      <c r="I9" s="86">
        <v>204.99</v>
      </c>
    </row>
    <row r="10" spans="1:12" s="90" customFormat="1" ht="45" x14ac:dyDescent="0.25">
      <c r="A10" s="104" t="s">
        <v>470</v>
      </c>
      <c r="B10" s="105" t="s">
        <v>205</v>
      </c>
      <c r="C10" s="105" t="s">
        <v>395</v>
      </c>
      <c r="D10" s="106">
        <v>42830</v>
      </c>
      <c r="E10" s="106">
        <v>42872</v>
      </c>
      <c r="F10" s="105" t="s">
        <v>601</v>
      </c>
      <c r="G10" s="84">
        <v>5</v>
      </c>
      <c r="H10" s="85">
        <v>5</v>
      </c>
      <c r="I10" s="86">
        <v>15.600000000000001</v>
      </c>
    </row>
    <row r="11" spans="1:12" ht="45" x14ac:dyDescent="0.25">
      <c r="A11" s="104" t="s">
        <v>471</v>
      </c>
      <c r="B11" s="105" t="s">
        <v>205</v>
      </c>
      <c r="C11" s="105" t="s">
        <v>402</v>
      </c>
      <c r="D11" s="106">
        <v>42830</v>
      </c>
      <c r="E11" s="106">
        <v>42859</v>
      </c>
      <c r="F11" s="105" t="s">
        <v>601</v>
      </c>
      <c r="G11" s="84">
        <v>5</v>
      </c>
      <c r="H11" s="85">
        <v>5</v>
      </c>
      <c r="I11" s="86">
        <v>13.899999999999999</v>
      </c>
    </row>
    <row r="12" spans="1:12" ht="45" x14ac:dyDescent="0.25">
      <c r="A12" s="104" t="s">
        <v>458</v>
      </c>
      <c r="B12" s="105" t="s">
        <v>205</v>
      </c>
      <c r="C12" s="105" t="s">
        <v>401</v>
      </c>
      <c r="D12" s="106">
        <v>42830</v>
      </c>
      <c r="E12" s="106">
        <v>42859</v>
      </c>
      <c r="F12" s="105" t="s">
        <v>601</v>
      </c>
      <c r="G12" s="84">
        <v>2</v>
      </c>
      <c r="H12" s="85">
        <v>2</v>
      </c>
      <c r="I12" s="86">
        <v>25.3</v>
      </c>
    </row>
    <row r="13" spans="1:12" ht="30" x14ac:dyDescent="0.25">
      <c r="A13" s="104" t="s">
        <v>460</v>
      </c>
      <c r="B13" s="105" t="s">
        <v>205</v>
      </c>
      <c r="C13" s="105" t="s">
        <v>392</v>
      </c>
      <c r="D13" s="106">
        <v>42830</v>
      </c>
      <c r="E13" s="106">
        <v>42874</v>
      </c>
      <c r="F13" s="105" t="s">
        <v>601</v>
      </c>
      <c r="G13" s="84">
        <v>2</v>
      </c>
      <c r="H13" s="85">
        <v>2</v>
      </c>
      <c r="I13" s="86">
        <v>38.08</v>
      </c>
    </row>
    <row r="14" spans="1:12" ht="30" x14ac:dyDescent="0.25">
      <c r="A14" s="104" t="s">
        <v>467</v>
      </c>
      <c r="B14" s="105" t="s">
        <v>205</v>
      </c>
      <c r="C14" s="105" t="s">
        <v>402</v>
      </c>
      <c r="D14" s="106">
        <v>42830</v>
      </c>
      <c r="E14" s="106">
        <v>42859</v>
      </c>
      <c r="F14" s="105" t="s">
        <v>601</v>
      </c>
      <c r="G14" s="84">
        <v>4</v>
      </c>
      <c r="H14" s="85">
        <v>4</v>
      </c>
      <c r="I14" s="86">
        <v>32.4</v>
      </c>
    </row>
    <row r="15" spans="1:12" ht="30" x14ac:dyDescent="0.25">
      <c r="A15" s="104" t="s">
        <v>467</v>
      </c>
      <c r="B15" s="105" t="s">
        <v>205</v>
      </c>
      <c r="C15" s="105" t="s">
        <v>416</v>
      </c>
      <c r="D15" s="106">
        <v>42759</v>
      </c>
      <c r="E15" s="106">
        <v>42838</v>
      </c>
      <c r="F15" s="105" t="s">
        <v>601</v>
      </c>
      <c r="G15" s="84">
        <v>3</v>
      </c>
      <c r="H15" s="85">
        <v>3</v>
      </c>
      <c r="I15" s="86">
        <v>24.299999999999997</v>
      </c>
    </row>
    <row r="16" spans="1:12" ht="45" x14ac:dyDescent="0.25">
      <c r="A16" s="104" t="s">
        <v>454</v>
      </c>
      <c r="B16" s="105" t="s">
        <v>205</v>
      </c>
      <c r="C16" s="105" t="s">
        <v>402</v>
      </c>
      <c r="D16" s="106">
        <v>41734</v>
      </c>
      <c r="E16" s="106">
        <v>42859</v>
      </c>
      <c r="F16" s="105" t="s">
        <v>601</v>
      </c>
      <c r="G16" s="84">
        <v>21</v>
      </c>
      <c r="H16" s="85">
        <v>21</v>
      </c>
      <c r="I16" s="86">
        <v>125.79</v>
      </c>
    </row>
    <row r="17" spans="1:9" x14ac:dyDescent="0.25">
      <c r="A17" s="104" t="s">
        <v>477</v>
      </c>
      <c r="B17" s="105" t="s">
        <v>205</v>
      </c>
      <c r="C17" s="105" t="s">
        <v>402</v>
      </c>
      <c r="D17" s="106">
        <v>42830</v>
      </c>
      <c r="E17" s="106">
        <v>42859</v>
      </c>
      <c r="F17" s="105" t="s">
        <v>601</v>
      </c>
      <c r="G17" s="84">
        <v>2</v>
      </c>
      <c r="H17" s="85">
        <v>2</v>
      </c>
      <c r="I17" s="86">
        <v>9.02</v>
      </c>
    </row>
    <row r="18" spans="1:9" ht="45" x14ac:dyDescent="0.25">
      <c r="A18" s="104" t="s">
        <v>457</v>
      </c>
      <c r="B18" s="105" t="s">
        <v>205</v>
      </c>
      <c r="C18" s="105" t="s">
        <v>401</v>
      </c>
      <c r="D18" s="106">
        <v>42830</v>
      </c>
      <c r="E18" s="106">
        <v>42859</v>
      </c>
      <c r="F18" s="105" t="s">
        <v>601</v>
      </c>
      <c r="G18" s="84">
        <v>4</v>
      </c>
      <c r="H18" s="85">
        <v>4</v>
      </c>
      <c r="I18" s="86">
        <v>43.92</v>
      </c>
    </row>
    <row r="19" spans="1:9" x14ac:dyDescent="0.25">
      <c r="A19" s="104" t="s">
        <v>439</v>
      </c>
      <c r="B19" s="105" t="s">
        <v>205</v>
      </c>
      <c r="C19" s="105" t="s">
        <v>401</v>
      </c>
      <c r="D19" s="106">
        <v>41734</v>
      </c>
      <c r="E19" s="106">
        <v>42859</v>
      </c>
      <c r="F19" s="105" t="s">
        <v>601</v>
      </c>
      <c r="G19" s="84">
        <v>2</v>
      </c>
      <c r="H19" s="85">
        <v>2</v>
      </c>
      <c r="I19" s="86">
        <v>29.76</v>
      </c>
    </row>
    <row r="20" spans="1:9" ht="30" x14ac:dyDescent="0.25">
      <c r="A20" s="104" t="s">
        <v>442</v>
      </c>
      <c r="B20" s="105" t="s">
        <v>205</v>
      </c>
      <c r="C20" s="105" t="s">
        <v>402</v>
      </c>
      <c r="D20" s="106">
        <v>42830</v>
      </c>
      <c r="E20" s="106">
        <v>42859</v>
      </c>
      <c r="F20" s="105" t="s">
        <v>601</v>
      </c>
      <c r="G20" s="84">
        <v>2</v>
      </c>
      <c r="H20" s="85">
        <v>2</v>
      </c>
      <c r="I20" s="86">
        <v>48</v>
      </c>
    </row>
    <row r="21" spans="1:9" ht="30" x14ac:dyDescent="0.25">
      <c r="A21" s="104" t="s">
        <v>463</v>
      </c>
      <c r="B21" s="105" t="s">
        <v>205</v>
      </c>
      <c r="C21" s="105" t="s">
        <v>402</v>
      </c>
      <c r="D21" s="106">
        <v>42830</v>
      </c>
      <c r="E21" s="106">
        <v>42859</v>
      </c>
      <c r="F21" s="105" t="s">
        <v>601</v>
      </c>
      <c r="G21" s="84">
        <v>5</v>
      </c>
      <c r="H21" s="85">
        <v>5</v>
      </c>
      <c r="I21" s="86">
        <v>195</v>
      </c>
    </row>
    <row r="22" spans="1:9" x14ac:dyDescent="0.25">
      <c r="A22" s="104" t="s">
        <v>478</v>
      </c>
      <c r="B22" s="105" t="s">
        <v>205</v>
      </c>
      <c r="C22" s="105" t="s">
        <v>402</v>
      </c>
      <c r="D22" s="106">
        <v>42830</v>
      </c>
      <c r="E22" s="106">
        <v>42859</v>
      </c>
      <c r="F22" s="105" t="s">
        <v>601</v>
      </c>
      <c r="G22" s="84">
        <v>2</v>
      </c>
      <c r="H22" s="85">
        <v>2</v>
      </c>
      <c r="I22" s="86">
        <v>6.6</v>
      </c>
    </row>
    <row r="23" spans="1:9" x14ac:dyDescent="0.25">
      <c r="A23" s="104" t="s">
        <v>462</v>
      </c>
      <c r="B23" s="105" t="s">
        <v>205</v>
      </c>
      <c r="C23" s="105" t="s">
        <v>402</v>
      </c>
      <c r="D23" s="106">
        <v>42830</v>
      </c>
      <c r="E23" s="106">
        <v>42859</v>
      </c>
      <c r="F23" s="105" t="s">
        <v>601</v>
      </c>
      <c r="G23" s="84">
        <v>11</v>
      </c>
      <c r="H23" s="85">
        <v>11</v>
      </c>
      <c r="I23" s="86">
        <v>108.9</v>
      </c>
    </row>
    <row r="24" spans="1:9" ht="30" x14ac:dyDescent="0.25">
      <c r="A24" s="104" t="s">
        <v>468</v>
      </c>
      <c r="B24" s="105" t="s">
        <v>205</v>
      </c>
      <c r="C24" s="105" t="s">
        <v>402</v>
      </c>
      <c r="D24" s="106">
        <v>42830</v>
      </c>
      <c r="E24" s="106">
        <v>42859</v>
      </c>
      <c r="F24" s="105" t="s">
        <v>601</v>
      </c>
      <c r="G24" s="84">
        <v>2</v>
      </c>
      <c r="H24" s="85">
        <v>2</v>
      </c>
      <c r="I24" s="86">
        <v>16</v>
      </c>
    </row>
    <row r="25" spans="1:9" ht="30" x14ac:dyDescent="0.25">
      <c r="A25" s="104" t="s">
        <v>469</v>
      </c>
      <c r="B25" s="105" t="s">
        <v>205</v>
      </c>
      <c r="C25" s="105" t="s">
        <v>402</v>
      </c>
      <c r="D25" s="106">
        <v>42830</v>
      </c>
      <c r="E25" s="106">
        <v>42859</v>
      </c>
      <c r="F25" s="105" t="s">
        <v>601</v>
      </c>
      <c r="G25" s="84">
        <v>4</v>
      </c>
      <c r="H25" s="85">
        <v>4</v>
      </c>
      <c r="I25" s="86">
        <v>17.399999999999999</v>
      </c>
    </row>
    <row r="26" spans="1:9" ht="30" x14ac:dyDescent="0.25">
      <c r="A26" s="104" t="s">
        <v>464</v>
      </c>
      <c r="B26" s="105" t="s">
        <v>205</v>
      </c>
      <c r="C26" s="105" t="s">
        <v>402</v>
      </c>
      <c r="D26" s="106">
        <v>42830</v>
      </c>
      <c r="E26" s="106">
        <v>42859</v>
      </c>
      <c r="F26" s="105" t="s">
        <v>601</v>
      </c>
      <c r="G26" s="84">
        <v>4</v>
      </c>
      <c r="H26" s="85">
        <v>4</v>
      </c>
      <c r="I26" s="86">
        <v>18.64</v>
      </c>
    </row>
    <row r="27" spans="1:9" ht="30" x14ac:dyDescent="0.25">
      <c r="A27" s="104" t="s">
        <v>446</v>
      </c>
      <c r="B27" s="105" t="s">
        <v>205</v>
      </c>
      <c r="C27" s="105" t="s">
        <v>402</v>
      </c>
      <c r="D27" s="106">
        <v>42830</v>
      </c>
      <c r="E27" s="106">
        <v>42859</v>
      </c>
      <c r="F27" s="105" t="s">
        <v>601</v>
      </c>
      <c r="G27" s="84">
        <v>4</v>
      </c>
      <c r="H27" s="85">
        <v>4</v>
      </c>
      <c r="I27" s="86">
        <v>19.48</v>
      </c>
    </row>
    <row r="28" spans="1:9" ht="45" x14ac:dyDescent="0.25">
      <c r="A28" s="104" t="s">
        <v>453</v>
      </c>
      <c r="B28" s="105" t="s">
        <v>205</v>
      </c>
      <c r="C28" s="105" t="s">
        <v>402</v>
      </c>
      <c r="D28" s="106">
        <v>42830</v>
      </c>
      <c r="E28" s="106">
        <v>42859</v>
      </c>
      <c r="F28" s="105" t="s">
        <v>601</v>
      </c>
      <c r="G28" s="84">
        <v>10</v>
      </c>
      <c r="H28" s="85">
        <v>10</v>
      </c>
      <c r="I28" s="86">
        <v>22</v>
      </c>
    </row>
    <row r="29" spans="1:9" ht="45" x14ac:dyDescent="0.25">
      <c r="A29" s="104" t="s">
        <v>472</v>
      </c>
      <c r="B29" s="105" t="s">
        <v>205</v>
      </c>
      <c r="C29" s="105" t="s">
        <v>402</v>
      </c>
      <c r="D29" s="106">
        <v>42830</v>
      </c>
      <c r="E29" s="106">
        <v>42859</v>
      </c>
      <c r="F29" s="105" t="s">
        <v>601</v>
      </c>
      <c r="G29" s="84">
        <v>14</v>
      </c>
      <c r="H29" s="85">
        <v>14</v>
      </c>
      <c r="I29" s="86">
        <v>51.52</v>
      </c>
    </row>
    <row r="30" spans="1:9" ht="45" x14ac:dyDescent="0.25">
      <c r="A30" s="104" t="s">
        <v>473</v>
      </c>
      <c r="B30" s="105" t="s">
        <v>205</v>
      </c>
      <c r="C30" s="105" t="s">
        <v>402</v>
      </c>
      <c r="D30" s="106">
        <v>42830</v>
      </c>
      <c r="E30" s="106">
        <v>42859</v>
      </c>
      <c r="F30" s="105" t="s">
        <v>601</v>
      </c>
      <c r="G30" s="84">
        <v>7</v>
      </c>
      <c r="H30" s="85">
        <v>7</v>
      </c>
      <c r="I30" s="86">
        <v>36.4</v>
      </c>
    </row>
    <row r="31" spans="1:9" ht="30" x14ac:dyDescent="0.25">
      <c r="A31" s="104" t="s">
        <v>459</v>
      </c>
      <c r="B31" s="105" t="s">
        <v>205</v>
      </c>
      <c r="C31" s="105" t="s">
        <v>401</v>
      </c>
      <c r="D31" s="106">
        <v>41734</v>
      </c>
      <c r="E31" s="106">
        <v>42859</v>
      </c>
      <c r="F31" s="105" t="s">
        <v>601</v>
      </c>
      <c r="G31" s="84">
        <v>2</v>
      </c>
      <c r="H31" s="85">
        <v>2</v>
      </c>
      <c r="I31" s="86">
        <v>26</v>
      </c>
    </row>
    <row r="32" spans="1:9" x14ac:dyDescent="0.25">
      <c r="A32" s="104" t="s">
        <v>476</v>
      </c>
      <c r="B32" s="105" t="s">
        <v>205</v>
      </c>
      <c r="C32" s="105" t="s">
        <v>393</v>
      </c>
      <c r="D32" s="106">
        <v>42830</v>
      </c>
      <c r="E32" s="106">
        <v>42920</v>
      </c>
      <c r="F32" s="105" t="s">
        <v>601</v>
      </c>
      <c r="G32" s="84">
        <v>2</v>
      </c>
      <c r="H32" s="85">
        <v>2</v>
      </c>
      <c r="I32" s="86">
        <v>9.02</v>
      </c>
    </row>
    <row r="33" spans="1:9" ht="30" x14ac:dyDescent="0.25">
      <c r="A33" s="104" t="s">
        <v>444</v>
      </c>
      <c r="B33" s="105" t="s">
        <v>205</v>
      </c>
      <c r="C33" s="105" t="s">
        <v>401</v>
      </c>
      <c r="D33" s="106">
        <v>42830</v>
      </c>
      <c r="E33" s="106">
        <v>42859</v>
      </c>
      <c r="F33" s="105" t="s">
        <v>601</v>
      </c>
      <c r="G33" s="84">
        <v>4</v>
      </c>
      <c r="H33" s="85">
        <v>4</v>
      </c>
      <c r="I33" s="86">
        <v>15.96</v>
      </c>
    </row>
    <row r="34" spans="1:9" ht="30" x14ac:dyDescent="0.25">
      <c r="A34" s="104" t="s">
        <v>461</v>
      </c>
      <c r="B34" s="105" t="s">
        <v>205</v>
      </c>
      <c r="C34" s="105" t="s">
        <v>401</v>
      </c>
      <c r="D34" s="106">
        <v>42830</v>
      </c>
      <c r="E34" s="106">
        <v>42859</v>
      </c>
      <c r="F34" s="105" t="s">
        <v>601</v>
      </c>
      <c r="G34" s="84">
        <v>2</v>
      </c>
      <c r="H34" s="85">
        <v>2</v>
      </c>
      <c r="I34" s="86">
        <v>27.96</v>
      </c>
    </row>
    <row r="35" spans="1:9" ht="30" x14ac:dyDescent="0.25">
      <c r="A35" s="104" t="s">
        <v>466</v>
      </c>
      <c r="B35" s="105" t="s">
        <v>205</v>
      </c>
      <c r="C35" s="105" t="s">
        <v>402</v>
      </c>
      <c r="D35" s="106">
        <v>42830</v>
      </c>
      <c r="E35" s="106">
        <v>42859</v>
      </c>
      <c r="F35" s="105" t="s">
        <v>601</v>
      </c>
      <c r="G35" s="84">
        <v>4</v>
      </c>
      <c r="H35" s="85">
        <v>4</v>
      </c>
      <c r="I35" s="86">
        <v>40</v>
      </c>
    </row>
    <row r="36" spans="1:9" ht="30" x14ac:dyDescent="0.25">
      <c r="A36" s="104" t="s">
        <v>465</v>
      </c>
      <c r="B36" s="105" t="s">
        <v>205</v>
      </c>
      <c r="C36" s="105" t="s">
        <v>402</v>
      </c>
      <c r="D36" s="106">
        <v>42830</v>
      </c>
      <c r="E36" s="106">
        <v>42859</v>
      </c>
      <c r="F36" s="105" t="s">
        <v>601</v>
      </c>
      <c r="G36" s="84">
        <v>4</v>
      </c>
      <c r="H36" s="85">
        <v>4</v>
      </c>
      <c r="I36" s="86">
        <v>28</v>
      </c>
    </row>
    <row r="37" spans="1:9" ht="30" x14ac:dyDescent="0.25">
      <c r="A37" s="104" t="s">
        <v>465</v>
      </c>
      <c r="B37" s="105" t="s">
        <v>205</v>
      </c>
      <c r="C37" s="105" t="s">
        <v>416</v>
      </c>
      <c r="D37" s="106">
        <v>42759</v>
      </c>
      <c r="E37" s="106">
        <v>42838</v>
      </c>
      <c r="F37" s="105" t="s">
        <v>601</v>
      </c>
      <c r="G37" s="84">
        <v>2</v>
      </c>
      <c r="H37" s="85">
        <v>2</v>
      </c>
      <c r="I37" s="86">
        <v>14</v>
      </c>
    </row>
    <row r="38" spans="1:9" ht="135" x14ac:dyDescent="0.25">
      <c r="A38" s="104" t="s">
        <v>539</v>
      </c>
      <c r="B38" s="105" t="s">
        <v>205</v>
      </c>
      <c r="C38" s="105" t="s">
        <v>435</v>
      </c>
      <c r="D38" s="106">
        <v>42835</v>
      </c>
      <c r="E38" s="106">
        <v>42895</v>
      </c>
      <c r="F38" s="105" t="s">
        <v>601</v>
      </c>
      <c r="G38" s="84">
        <v>1</v>
      </c>
      <c r="H38" s="85">
        <v>1</v>
      </c>
      <c r="I38" s="86">
        <v>296.99</v>
      </c>
    </row>
    <row r="39" spans="1:9" x14ac:dyDescent="0.25">
      <c r="A39" s="104" t="s">
        <v>541</v>
      </c>
      <c r="B39" s="105" t="s">
        <v>205</v>
      </c>
      <c r="C39" s="105" t="s">
        <v>436</v>
      </c>
      <c r="D39" s="106">
        <v>42835</v>
      </c>
      <c r="E39" s="106">
        <v>42898</v>
      </c>
      <c r="F39" s="105" t="s">
        <v>601</v>
      </c>
      <c r="G39" s="84">
        <v>2</v>
      </c>
      <c r="H39" s="85">
        <v>2</v>
      </c>
      <c r="I39" s="86">
        <v>7.46</v>
      </c>
    </row>
    <row r="40" spans="1:9" x14ac:dyDescent="0.25">
      <c r="A40" s="104" t="s">
        <v>542</v>
      </c>
      <c r="B40" s="105" t="s">
        <v>205</v>
      </c>
      <c r="C40" s="105" t="s">
        <v>436</v>
      </c>
      <c r="D40" s="106">
        <v>42835</v>
      </c>
      <c r="E40" s="106">
        <v>42898</v>
      </c>
      <c r="F40" s="105" t="s">
        <v>601</v>
      </c>
      <c r="G40" s="84">
        <v>4</v>
      </c>
      <c r="H40" s="85">
        <v>4</v>
      </c>
      <c r="I40" s="86">
        <v>15.8</v>
      </c>
    </row>
    <row r="41" spans="1:9" x14ac:dyDescent="0.25">
      <c r="A41" s="104" t="s">
        <v>544</v>
      </c>
      <c r="B41" s="105" t="s">
        <v>205</v>
      </c>
      <c r="C41" s="105" t="s">
        <v>436</v>
      </c>
      <c r="D41" s="106">
        <v>42835</v>
      </c>
      <c r="E41" s="106">
        <v>42898</v>
      </c>
      <c r="F41" s="105" t="s">
        <v>601</v>
      </c>
      <c r="G41" s="84">
        <v>6</v>
      </c>
      <c r="H41" s="85">
        <v>6</v>
      </c>
      <c r="I41" s="86">
        <v>13.74</v>
      </c>
    </row>
    <row r="42" spans="1:9" x14ac:dyDescent="0.25">
      <c r="A42" s="104" t="s">
        <v>545</v>
      </c>
      <c r="B42" s="105" t="s">
        <v>205</v>
      </c>
      <c r="C42" s="105" t="s">
        <v>437</v>
      </c>
      <c r="D42" s="106">
        <v>42835</v>
      </c>
      <c r="E42" s="106">
        <v>42892</v>
      </c>
      <c r="F42" s="105" t="s">
        <v>601</v>
      </c>
      <c r="G42" s="84">
        <v>5</v>
      </c>
      <c r="H42" s="85">
        <v>5</v>
      </c>
      <c r="I42" s="86">
        <v>20.85</v>
      </c>
    </row>
    <row r="43" spans="1:9" x14ac:dyDescent="0.25">
      <c r="A43" s="104" t="s">
        <v>548</v>
      </c>
      <c r="B43" s="105" t="s">
        <v>205</v>
      </c>
      <c r="C43" s="105" t="s">
        <v>437</v>
      </c>
      <c r="D43" s="106">
        <v>42835</v>
      </c>
      <c r="E43" s="106">
        <v>42892</v>
      </c>
      <c r="F43" s="105" t="s">
        <v>601</v>
      </c>
      <c r="G43" s="84">
        <v>3</v>
      </c>
      <c r="H43" s="85">
        <v>3</v>
      </c>
      <c r="I43" s="86">
        <v>64.949999999999989</v>
      </c>
    </row>
    <row r="44" spans="1:9" x14ac:dyDescent="0.25">
      <c r="A44" s="104" t="s">
        <v>551</v>
      </c>
      <c r="B44" s="105" t="s">
        <v>205</v>
      </c>
      <c r="C44" s="105" t="s">
        <v>437</v>
      </c>
      <c r="D44" s="106">
        <v>42835</v>
      </c>
      <c r="E44" s="106">
        <v>42892</v>
      </c>
      <c r="F44" s="105" t="s">
        <v>601</v>
      </c>
      <c r="G44" s="84">
        <v>5</v>
      </c>
      <c r="H44" s="85">
        <v>5</v>
      </c>
      <c r="I44" s="86">
        <v>22.05</v>
      </c>
    </row>
    <row r="45" spans="1:9" x14ac:dyDescent="0.25">
      <c r="A45" s="104" t="s">
        <v>553</v>
      </c>
      <c r="B45" s="105" t="s">
        <v>205</v>
      </c>
      <c r="C45" s="105" t="s">
        <v>436</v>
      </c>
      <c r="D45" s="106">
        <v>42835</v>
      </c>
      <c r="E45" s="106">
        <v>42898</v>
      </c>
      <c r="F45" s="105" t="s">
        <v>601</v>
      </c>
      <c r="G45" s="84">
        <v>4</v>
      </c>
      <c r="H45" s="85">
        <v>4</v>
      </c>
      <c r="I45" s="86">
        <v>457.49</v>
      </c>
    </row>
    <row r="46" spans="1:9" x14ac:dyDescent="0.25">
      <c r="A46" s="104" t="s">
        <v>554</v>
      </c>
      <c r="B46" s="105" t="s">
        <v>205</v>
      </c>
      <c r="C46" s="105" t="s">
        <v>437</v>
      </c>
      <c r="D46" s="106">
        <v>42835</v>
      </c>
      <c r="E46" s="106">
        <v>42892</v>
      </c>
      <c r="F46" s="105" t="s">
        <v>601</v>
      </c>
      <c r="G46" s="84">
        <v>10</v>
      </c>
      <c r="H46" s="85">
        <v>10</v>
      </c>
      <c r="I46" s="86">
        <v>39.900000000000006</v>
      </c>
    </row>
    <row r="47" spans="1:9" ht="15.75" thickBot="1" x14ac:dyDescent="0.3">
      <c r="A47" s="104" t="s">
        <v>368</v>
      </c>
      <c r="B47" s="105" t="s">
        <v>205</v>
      </c>
      <c r="C47" s="105" t="s">
        <v>593</v>
      </c>
      <c r="D47" s="106">
        <v>42577</v>
      </c>
      <c r="E47" s="106">
        <v>42933</v>
      </c>
      <c r="F47" s="105" t="s">
        <v>601</v>
      </c>
      <c r="G47" s="84">
        <v>4</v>
      </c>
      <c r="H47" s="85">
        <v>4</v>
      </c>
      <c r="I47" s="86">
        <v>60</v>
      </c>
    </row>
    <row r="48" spans="1:9" ht="16.5" thickTop="1" thickBot="1" x14ac:dyDescent="0.3">
      <c r="A48" s="107" t="s">
        <v>199</v>
      </c>
      <c r="B48" s="108"/>
      <c r="C48" s="108"/>
      <c r="D48" s="108"/>
      <c r="E48" s="108"/>
      <c r="F48" s="109"/>
      <c r="G48" s="88">
        <v>196</v>
      </c>
      <c r="H48" s="96">
        <v>196</v>
      </c>
      <c r="I48" s="89">
        <v>2349.7900000000004</v>
      </c>
    </row>
    <row r="49" spans="2:5" ht="15.75" thickTop="1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BiT3bRg9tX5DLhEkDuFaiOqhx+HZvNCOG6iBwKkMseNI+xbsKRHrg87bTY5iixNL39ruIgvGFNWW2iFZ7/hFKA==" saltValue="7LrhKNJuvfPIHU5Pw8786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573</v>
      </c>
      <c r="B1" s="78"/>
      <c r="G1" s="217"/>
    </row>
    <row r="2" spans="1:12" ht="16.5" thickTop="1" thickBot="1" x14ac:dyDescent="0.3">
      <c r="A2" s="133" t="s">
        <v>3</v>
      </c>
      <c r="B2" s="111">
        <v>210300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549</v>
      </c>
      <c r="B5" s="105">
        <v>439</v>
      </c>
      <c r="C5" s="105" t="s">
        <v>590</v>
      </c>
      <c r="D5" s="106">
        <v>42577</v>
      </c>
      <c r="E5" s="106">
        <v>42954</v>
      </c>
      <c r="F5" s="105" t="s">
        <v>601</v>
      </c>
      <c r="G5" s="80">
        <v>8</v>
      </c>
      <c r="H5" s="81">
        <v>8</v>
      </c>
      <c r="I5" s="82">
        <v>273.52</v>
      </c>
      <c r="J5"/>
      <c r="L5"/>
    </row>
    <row r="6" spans="1:12" s="83" customFormat="1" ht="30" x14ac:dyDescent="0.25">
      <c r="A6" s="104" t="s">
        <v>559</v>
      </c>
      <c r="B6" s="105">
        <v>439</v>
      </c>
      <c r="C6" s="105" t="s">
        <v>591</v>
      </c>
      <c r="D6" s="106">
        <v>42577</v>
      </c>
      <c r="E6" s="106">
        <v>42940</v>
      </c>
      <c r="F6" s="105" t="s">
        <v>601</v>
      </c>
      <c r="G6" s="84">
        <v>4</v>
      </c>
      <c r="H6" s="85">
        <v>4</v>
      </c>
      <c r="I6" s="86">
        <v>276.56</v>
      </c>
      <c r="K6"/>
    </row>
    <row r="7" spans="1:12" s="83" customFormat="1" x14ac:dyDescent="0.25">
      <c r="A7" s="104" t="s">
        <v>368</v>
      </c>
      <c r="B7" s="105">
        <v>439</v>
      </c>
      <c r="C7" s="105" t="s">
        <v>593</v>
      </c>
      <c r="D7" s="106">
        <v>42577</v>
      </c>
      <c r="E7" s="106">
        <v>42933</v>
      </c>
      <c r="F7" s="105" t="s">
        <v>601</v>
      </c>
      <c r="G7" s="84">
        <v>36</v>
      </c>
      <c r="H7" s="85">
        <v>36</v>
      </c>
      <c r="I7" s="86">
        <v>540</v>
      </c>
    </row>
    <row r="8" spans="1:12" s="87" customFormat="1" x14ac:dyDescent="0.25">
      <c r="A8" s="104" t="s">
        <v>369</v>
      </c>
      <c r="B8" s="105">
        <v>439</v>
      </c>
      <c r="C8" s="105" t="s">
        <v>593</v>
      </c>
      <c r="D8" s="106">
        <v>42577</v>
      </c>
      <c r="E8" s="106">
        <v>42933</v>
      </c>
      <c r="F8" s="105" t="s">
        <v>601</v>
      </c>
      <c r="G8" s="84">
        <v>36</v>
      </c>
      <c r="H8" s="85">
        <v>36</v>
      </c>
      <c r="I8" s="86">
        <v>432</v>
      </c>
    </row>
    <row r="9" spans="1:12" s="87" customFormat="1" ht="30" x14ac:dyDescent="0.25">
      <c r="A9" s="104" t="s">
        <v>296</v>
      </c>
      <c r="B9" s="105">
        <v>439</v>
      </c>
      <c r="C9" s="105" t="s">
        <v>589</v>
      </c>
      <c r="D9" s="106">
        <v>42577</v>
      </c>
      <c r="E9" s="106">
        <v>42976</v>
      </c>
      <c r="F9" s="105" t="s">
        <v>601</v>
      </c>
      <c r="G9" s="84">
        <v>12</v>
      </c>
      <c r="H9" s="85">
        <v>12</v>
      </c>
      <c r="I9" s="86">
        <v>55.320000000000007</v>
      </c>
    </row>
    <row r="10" spans="1:12" s="90" customFormat="1" ht="30" x14ac:dyDescent="0.25">
      <c r="A10" s="104" t="s">
        <v>297</v>
      </c>
      <c r="B10" s="105">
        <v>439</v>
      </c>
      <c r="C10" s="105" t="s">
        <v>589</v>
      </c>
      <c r="D10" s="106">
        <v>42577</v>
      </c>
      <c r="E10" s="106">
        <v>42976</v>
      </c>
      <c r="F10" s="105" t="s">
        <v>601</v>
      </c>
      <c r="G10" s="84">
        <v>12</v>
      </c>
      <c r="H10" s="85">
        <v>12</v>
      </c>
      <c r="I10" s="86">
        <v>40.200000000000003</v>
      </c>
    </row>
    <row r="11" spans="1:12" ht="30" x14ac:dyDescent="0.25">
      <c r="A11" s="104" t="s">
        <v>299</v>
      </c>
      <c r="B11" s="105">
        <v>439</v>
      </c>
      <c r="C11" s="105" t="s">
        <v>589</v>
      </c>
      <c r="D11" s="106">
        <v>42577</v>
      </c>
      <c r="E11" s="106">
        <v>42976</v>
      </c>
      <c r="F11" s="105" t="s">
        <v>601</v>
      </c>
      <c r="G11" s="84">
        <v>12</v>
      </c>
      <c r="H11" s="85">
        <v>12</v>
      </c>
      <c r="I11" s="86">
        <v>61.44</v>
      </c>
    </row>
    <row r="12" spans="1:12" ht="30" x14ac:dyDescent="0.25">
      <c r="A12" s="104" t="s">
        <v>301</v>
      </c>
      <c r="B12" s="105">
        <v>439</v>
      </c>
      <c r="C12" s="105" t="s">
        <v>589</v>
      </c>
      <c r="D12" s="106">
        <v>42577</v>
      </c>
      <c r="E12" s="106">
        <v>42976</v>
      </c>
      <c r="F12" s="105" t="s">
        <v>601</v>
      </c>
      <c r="G12" s="84">
        <v>12</v>
      </c>
      <c r="H12" s="85">
        <v>12</v>
      </c>
      <c r="I12" s="86">
        <v>53.88</v>
      </c>
    </row>
    <row r="13" spans="1:12" ht="45.75" thickBot="1" x14ac:dyDescent="0.3">
      <c r="A13" s="104" t="s">
        <v>558</v>
      </c>
      <c r="B13" s="105">
        <v>439</v>
      </c>
      <c r="C13" s="105" t="s">
        <v>591</v>
      </c>
      <c r="D13" s="106">
        <v>42577</v>
      </c>
      <c r="E13" s="106">
        <v>42940</v>
      </c>
      <c r="F13" s="105" t="s">
        <v>601</v>
      </c>
      <c r="G13" s="84">
        <v>100</v>
      </c>
      <c r="H13" s="85">
        <v>100</v>
      </c>
      <c r="I13" s="86">
        <v>493</v>
      </c>
    </row>
    <row r="14" spans="1:12" ht="16.5" thickTop="1" thickBot="1" x14ac:dyDescent="0.3">
      <c r="A14" s="107" t="s">
        <v>199</v>
      </c>
      <c r="B14" s="108"/>
      <c r="C14" s="108"/>
      <c r="D14" s="108"/>
      <c r="E14" s="108"/>
      <c r="F14" s="109"/>
      <c r="G14" s="88">
        <v>232</v>
      </c>
      <c r="H14" s="96">
        <v>232</v>
      </c>
      <c r="I14" s="89">
        <v>2225.92</v>
      </c>
    </row>
    <row r="15" spans="1:12" ht="15.75" thickTop="1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ht="15.75" thickBot="1" x14ac:dyDescent="0.3">
      <c r="B90"/>
      <c r="C90"/>
      <c r="D90"/>
      <c r="E90"/>
    </row>
    <row r="91" spans="2:5" ht="16.5" thickTop="1" thickBot="1" x14ac:dyDescent="0.3">
      <c r="B91"/>
      <c r="C91"/>
      <c r="D91"/>
      <c r="E91"/>
    </row>
    <row r="92" spans="2:5" ht="15.75" thickTop="1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oIzkG3Q1KnhYyXssXAXPZ0mfiPkfDobV4EM+51UmqABrKO5AbL9EwkExuO7NgE9CBm2A3rPFwNgg3AHrYu3A3Q==" saltValue="6Cds/+lgaB11GHoZUYBso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420</v>
      </c>
      <c r="B1" s="78"/>
      <c r="G1" s="217"/>
    </row>
    <row r="2" spans="1:12" ht="16.5" thickTop="1" thickBot="1" x14ac:dyDescent="0.3">
      <c r="A2" s="133" t="s">
        <v>3</v>
      </c>
      <c r="B2" s="111">
        <v>220100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30.75" thickTop="1" x14ac:dyDescent="0.25">
      <c r="A5" s="104" t="s">
        <v>480</v>
      </c>
      <c r="B5" s="105" t="s">
        <v>205</v>
      </c>
      <c r="C5" s="105" t="s">
        <v>402</v>
      </c>
      <c r="D5" s="106">
        <v>42830</v>
      </c>
      <c r="E5" s="106">
        <v>42859</v>
      </c>
      <c r="F5" s="105" t="s">
        <v>601</v>
      </c>
      <c r="G5" s="80">
        <v>1</v>
      </c>
      <c r="H5" s="81">
        <v>1</v>
      </c>
      <c r="I5" s="82">
        <v>9</v>
      </c>
      <c r="J5"/>
      <c r="L5"/>
    </row>
    <row r="6" spans="1:12" s="83" customFormat="1" ht="30" x14ac:dyDescent="0.25">
      <c r="A6" s="104" t="s">
        <v>483</v>
      </c>
      <c r="B6" s="105" t="s">
        <v>205</v>
      </c>
      <c r="C6" s="105" t="s">
        <v>402</v>
      </c>
      <c r="D6" s="106">
        <v>42830</v>
      </c>
      <c r="E6" s="106">
        <v>42859</v>
      </c>
      <c r="F6" s="105" t="s">
        <v>601</v>
      </c>
      <c r="G6" s="84">
        <v>2</v>
      </c>
      <c r="H6" s="85">
        <v>2</v>
      </c>
      <c r="I6" s="86">
        <v>12.98</v>
      </c>
      <c r="K6"/>
    </row>
    <row r="7" spans="1:12" s="83" customFormat="1" ht="30" x14ac:dyDescent="0.25">
      <c r="A7" s="104" t="s">
        <v>481</v>
      </c>
      <c r="B7" s="105" t="s">
        <v>205</v>
      </c>
      <c r="C7" s="105" t="s">
        <v>401</v>
      </c>
      <c r="D7" s="106">
        <v>42830</v>
      </c>
      <c r="E7" s="106">
        <v>42859</v>
      </c>
      <c r="F7" s="105" t="s">
        <v>601</v>
      </c>
      <c r="G7" s="84">
        <v>1</v>
      </c>
      <c r="H7" s="85">
        <v>1</v>
      </c>
      <c r="I7" s="86">
        <v>9.3000000000000007</v>
      </c>
    </row>
    <row r="8" spans="1:12" s="87" customFormat="1" x14ac:dyDescent="0.25">
      <c r="A8" s="104" t="s">
        <v>439</v>
      </c>
      <c r="B8" s="105" t="s">
        <v>205</v>
      </c>
      <c r="C8" s="105" t="s">
        <v>401</v>
      </c>
      <c r="D8" s="106">
        <v>41734</v>
      </c>
      <c r="E8" s="106">
        <v>42859</v>
      </c>
      <c r="F8" s="105" t="s">
        <v>601</v>
      </c>
      <c r="G8" s="84">
        <v>1</v>
      </c>
      <c r="H8" s="85">
        <v>1</v>
      </c>
      <c r="I8" s="86">
        <v>14.88</v>
      </c>
    </row>
    <row r="9" spans="1:12" s="87" customFormat="1" x14ac:dyDescent="0.25">
      <c r="A9" s="104" t="s">
        <v>479</v>
      </c>
      <c r="B9" s="105" t="s">
        <v>205</v>
      </c>
      <c r="C9" s="105" t="s">
        <v>401</v>
      </c>
      <c r="D9" s="106">
        <v>42830</v>
      </c>
      <c r="E9" s="106">
        <v>42859</v>
      </c>
      <c r="F9" s="105" t="s">
        <v>601</v>
      </c>
      <c r="G9" s="84">
        <v>1</v>
      </c>
      <c r="H9" s="85">
        <v>1</v>
      </c>
      <c r="I9" s="86">
        <v>14</v>
      </c>
    </row>
    <row r="10" spans="1:12" s="90" customFormat="1" ht="30" x14ac:dyDescent="0.25">
      <c r="A10" s="104" t="s">
        <v>482</v>
      </c>
      <c r="B10" s="105" t="s">
        <v>205</v>
      </c>
      <c r="C10" s="105" t="s">
        <v>402</v>
      </c>
      <c r="D10" s="106">
        <v>42830</v>
      </c>
      <c r="E10" s="106">
        <v>42859</v>
      </c>
      <c r="F10" s="105" t="s">
        <v>601</v>
      </c>
      <c r="G10" s="84">
        <v>1</v>
      </c>
      <c r="H10" s="85">
        <v>1</v>
      </c>
      <c r="I10" s="86">
        <v>3.23</v>
      </c>
    </row>
    <row r="11" spans="1:12" ht="30" x14ac:dyDescent="0.25">
      <c r="A11" s="104" t="s">
        <v>464</v>
      </c>
      <c r="B11" s="105" t="s">
        <v>205</v>
      </c>
      <c r="C11" s="105" t="s">
        <v>402</v>
      </c>
      <c r="D11" s="106">
        <v>42830</v>
      </c>
      <c r="E11" s="106">
        <v>42859</v>
      </c>
      <c r="F11" s="105" t="s">
        <v>601</v>
      </c>
      <c r="G11" s="84">
        <v>1</v>
      </c>
      <c r="H11" s="85">
        <v>1</v>
      </c>
      <c r="I11" s="86">
        <v>4.66</v>
      </c>
    </row>
    <row r="12" spans="1:12" x14ac:dyDescent="0.25">
      <c r="A12" s="104" t="s">
        <v>549</v>
      </c>
      <c r="B12" s="105" t="s">
        <v>205</v>
      </c>
      <c r="C12" s="105" t="s">
        <v>429</v>
      </c>
      <c r="D12" s="106">
        <v>42835</v>
      </c>
      <c r="E12" s="106">
        <v>42898</v>
      </c>
      <c r="F12" s="105" t="s">
        <v>601</v>
      </c>
      <c r="G12" s="84">
        <v>2</v>
      </c>
      <c r="H12" s="85">
        <v>2</v>
      </c>
      <c r="I12" s="86">
        <v>68.38</v>
      </c>
    </row>
    <row r="13" spans="1:12" x14ac:dyDescent="0.25">
      <c r="A13" s="104" t="s">
        <v>549</v>
      </c>
      <c r="B13" s="105">
        <v>435</v>
      </c>
      <c r="C13" s="105" t="s">
        <v>590</v>
      </c>
      <c r="D13" s="106">
        <v>42577</v>
      </c>
      <c r="E13" s="106">
        <v>42954</v>
      </c>
      <c r="F13" s="105" t="s">
        <v>601</v>
      </c>
      <c r="G13" s="84">
        <v>3</v>
      </c>
      <c r="H13" s="85">
        <v>3</v>
      </c>
      <c r="I13" s="86">
        <v>102.57</v>
      </c>
    </row>
    <row r="14" spans="1:12" x14ac:dyDescent="0.25">
      <c r="A14" s="104" t="s">
        <v>538</v>
      </c>
      <c r="B14" s="105" t="s">
        <v>205</v>
      </c>
      <c r="C14" s="105" t="s">
        <v>435</v>
      </c>
      <c r="D14" s="106">
        <v>42835</v>
      </c>
      <c r="E14" s="106">
        <v>42895</v>
      </c>
      <c r="F14" s="105" t="s">
        <v>601</v>
      </c>
      <c r="G14" s="84">
        <v>1</v>
      </c>
      <c r="H14" s="85">
        <v>1</v>
      </c>
      <c r="I14" s="86">
        <v>0.28000000000000003</v>
      </c>
    </row>
    <row r="15" spans="1:12" ht="135" x14ac:dyDescent="0.25">
      <c r="A15" s="104" t="s">
        <v>539</v>
      </c>
      <c r="B15" s="105" t="s">
        <v>205</v>
      </c>
      <c r="C15" s="105" t="s">
        <v>435</v>
      </c>
      <c r="D15" s="106">
        <v>42835</v>
      </c>
      <c r="E15" s="106">
        <v>42895</v>
      </c>
      <c r="F15" s="105" t="s">
        <v>601</v>
      </c>
      <c r="G15" s="84">
        <v>1</v>
      </c>
      <c r="H15" s="85">
        <v>1</v>
      </c>
      <c r="I15" s="86">
        <v>296.99</v>
      </c>
    </row>
    <row r="16" spans="1:12" ht="30" x14ac:dyDescent="0.25">
      <c r="A16" s="104" t="s">
        <v>556</v>
      </c>
      <c r="B16" s="105" t="s">
        <v>205</v>
      </c>
      <c r="C16" s="105" t="s">
        <v>433</v>
      </c>
      <c r="D16" s="106">
        <v>42835</v>
      </c>
      <c r="E16" s="106">
        <v>42905</v>
      </c>
      <c r="F16" s="105" t="s">
        <v>601</v>
      </c>
      <c r="G16" s="84">
        <v>2</v>
      </c>
      <c r="H16" s="85">
        <v>2</v>
      </c>
      <c r="I16" s="86">
        <v>230</v>
      </c>
    </row>
    <row r="17" spans="1:9" x14ac:dyDescent="0.25">
      <c r="A17" s="104" t="s">
        <v>557</v>
      </c>
      <c r="B17" s="105" t="s">
        <v>205</v>
      </c>
      <c r="C17" s="105" t="s">
        <v>437</v>
      </c>
      <c r="D17" s="106">
        <v>42835</v>
      </c>
      <c r="E17" s="106">
        <v>42892</v>
      </c>
      <c r="F17" s="105" t="s">
        <v>601</v>
      </c>
      <c r="G17" s="84">
        <v>1</v>
      </c>
      <c r="H17" s="85">
        <v>1</v>
      </c>
      <c r="I17" s="86">
        <v>6.5</v>
      </c>
    </row>
    <row r="18" spans="1:9" x14ac:dyDescent="0.25">
      <c r="A18" s="104" t="s">
        <v>368</v>
      </c>
      <c r="B18" s="105">
        <v>435</v>
      </c>
      <c r="C18" s="105" t="s">
        <v>593</v>
      </c>
      <c r="D18" s="106">
        <v>42577</v>
      </c>
      <c r="E18" s="106">
        <v>42933</v>
      </c>
      <c r="F18" s="105" t="s">
        <v>601</v>
      </c>
      <c r="G18" s="84">
        <v>10</v>
      </c>
      <c r="H18" s="85">
        <v>10</v>
      </c>
      <c r="I18" s="86">
        <v>150</v>
      </c>
    </row>
    <row r="19" spans="1:9" x14ac:dyDescent="0.25">
      <c r="A19" s="104" t="s">
        <v>369</v>
      </c>
      <c r="B19" s="105">
        <v>435</v>
      </c>
      <c r="C19" s="105" t="s">
        <v>593</v>
      </c>
      <c r="D19" s="106">
        <v>42577</v>
      </c>
      <c r="E19" s="106">
        <v>42933</v>
      </c>
      <c r="F19" s="105" t="s">
        <v>601</v>
      </c>
      <c r="G19" s="84">
        <v>10</v>
      </c>
      <c r="H19" s="85">
        <v>10</v>
      </c>
      <c r="I19" s="86">
        <v>120</v>
      </c>
    </row>
    <row r="20" spans="1:9" x14ac:dyDescent="0.25">
      <c r="A20" s="104" t="s">
        <v>541</v>
      </c>
      <c r="B20" s="105" t="s">
        <v>205</v>
      </c>
      <c r="C20" s="105" t="s">
        <v>436</v>
      </c>
      <c r="D20" s="106">
        <v>42835</v>
      </c>
      <c r="E20" s="106">
        <v>42898</v>
      </c>
      <c r="F20" s="105" t="s">
        <v>601</v>
      </c>
      <c r="G20" s="84">
        <v>1</v>
      </c>
      <c r="H20" s="85">
        <v>1</v>
      </c>
      <c r="I20" s="86">
        <v>3.73</v>
      </c>
    </row>
    <row r="21" spans="1:9" ht="30" x14ac:dyDescent="0.25">
      <c r="A21" s="104" t="s">
        <v>555</v>
      </c>
      <c r="B21" s="105" t="s">
        <v>205</v>
      </c>
      <c r="C21" s="105" t="s">
        <v>434</v>
      </c>
      <c r="D21" s="106">
        <v>42835</v>
      </c>
      <c r="E21" s="105" t="s">
        <v>625</v>
      </c>
      <c r="F21" s="105" t="s">
        <v>646</v>
      </c>
      <c r="G21" s="84">
        <v>1</v>
      </c>
      <c r="H21" s="85">
        <v>1</v>
      </c>
      <c r="I21" s="86">
        <v>689</v>
      </c>
    </row>
    <row r="22" spans="1:9" ht="30" x14ac:dyDescent="0.25">
      <c r="A22" s="104" t="s">
        <v>296</v>
      </c>
      <c r="B22" s="105">
        <v>435</v>
      </c>
      <c r="C22" s="105" t="s">
        <v>589</v>
      </c>
      <c r="D22" s="106">
        <v>42577</v>
      </c>
      <c r="E22" s="106">
        <v>42976</v>
      </c>
      <c r="F22" s="105" t="s">
        <v>601</v>
      </c>
      <c r="G22" s="84">
        <v>1</v>
      </c>
      <c r="H22" s="85">
        <v>1</v>
      </c>
      <c r="I22" s="86">
        <v>4.6100000000000003</v>
      </c>
    </row>
    <row r="23" spans="1:9" ht="30" x14ac:dyDescent="0.25">
      <c r="A23" s="104" t="s">
        <v>297</v>
      </c>
      <c r="B23" s="105">
        <v>435</v>
      </c>
      <c r="C23" s="105" t="s">
        <v>589</v>
      </c>
      <c r="D23" s="106">
        <v>42577</v>
      </c>
      <c r="E23" s="106">
        <v>42976</v>
      </c>
      <c r="F23" s="105" t="s">
        <v>601</v>
      </c>
      <c r="G23" s="84">
        <v>6</v>
      </c>
      <c r="H23" s="85">
        <v>6</v>
      </c>
      <c r="I23" s="86">
        <v>20.100000000000001</v>
      </c>
    </row>
    <row r="24" spans="1:9" ht="30" x14ac:dyDescent="0.25">
      <c r="A24" s="104" t="s">
        <v>299</v>
      </c>
      <c r="B24" s="105">
        <v>435</v>
      </c>
      <c r="C24" s="105" t="s">
        <v>589</v>
      </c>
      <c r="D24" s="106">
        <v>42577</v>
      </c>
      <c r="E24" s="106">
        <v>42976</v>
      </c>
      <c r="F24" s="105" t="s">
        <v>601</v>
      </c>
      <c r="G24" s="84">
        <v>6</v>
      </c>
      <c r="H24" s="85">
        <v>6</v>
      </c>
      <c r="I24" s="86">
        <v>30.72</v>
      </c>
    </row>
    <row r="25" spans="1:9" ht="30.75" thickBot="1" x14ac:dyDescent="0.3">
      <c r="A25" s="104" t="s">
        <v>301</v>
      </c>
      <c r="B25" s="105">
        <v>435</v>
      </c>
      <c r="C25" s="105" t="s">
        <v>589</v>
      </c>
      <c r="D25" s="106">
        <v>42577</v>
      </c>
      <c r="E25" s="106">
        <v>42976</v>
      </c>
      <c r="F25" s="105" t="s">
        <v>601</v>
      </c>
      <c r="G25" s="84">
        <v>6</v>
      </c>
      <c r="H25" s="85">
        <v>6</v>
      </c>
      <c r="I25" s="86">
        <v>26.94</v>
      </c>
    </row>
    <row r="26" spans="1:9" ht="16.5" thickTop="1" thickBot="1" x14ac:dyDescent="0.3">
      <c r="A26" s="107" t="s">
        <v>199</v>
      </c>
      <c r="B26" s="108"/>
      <c r="C26" s="108"/>
      <c r="D26" s="108"/>
      <c r="E26" s="108"/>
      <c r="F26" s="109"/>
      <c r="G26" s="88">
        <v>59</v>
      </c>
      <c r="H26" s="96">
        <v>59</v>
      </c>
      <c r="I26" s="89">
        <v>1817.87</v>
      </c>
    </row>
    <row r="27" spans="1:9" ht="15.75" thickTop="1" x14ac:dyDescent="0.25">
      <c r="B27"/>
      <c r="C27"/>
      <c r="D27"/>
      <c r="E27"/>
    </row>
    <row r="28" spans="1:9" x14ac:dyDescent="0.25">
      <c r="B28"/>
      <c r="C28"/>
      <c r="D28"/>
      <c r="E28"/>
    </row>
    <row r="29" spans="1:9" x14ac:dyDescent="0.25">
      <c r="B29"/>
      <c r="C29"/>
      <c r="D29"/>
      <c r="E29"/>
    </row>
    <row r="30" spans="1:9" x14ac:dyDescent="0.25">
      <c r="B30"/>
      <c r="C30"/>
      <c r="D30"/>
      <c r="E30"/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ht="15.75" thickBot="1" x14ac:dyDescent="0.3">
      <c r="B72"/>
      <c r="C72"/>
      <c r="D72"/>
      <c r="E72"/>
    </row>
    <row r="73" spans="2:5" ht="16.5" thickTop="1" thickBot="1" x14ac:dyDescent="0.3">
      <c r="B73"/>
      <c r="C73"/>
      <c r="D73"/>
      <c r="E73"/>
    </row>
    <row r="74" spans="2:5" ht="15.75" thickTop="1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AcU1tG4oNDb6zUVZS/ni6qlo4b8AUrXFe84OoxI+rKMk07UyQGZHtJ/200afB8TMdD/B85ugv9SA74+mQf25lg==" saltValue="ZYEa/qvtqhgtxc/hzg72n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showGridLines="0" workbookViewId="0"/>
  </sheetViews>
  <sheetFormatPr defaultRowHeight="15" x14ac:dyDescent="0.25"/>
  <cols>
    <col min="1" max="1" width="70.28515625" customWidth="1"/>
    <col min="2" max="2" width="14.42578125" style="132" customWidth="1"/>
    <col min="3" max="3" width="17.28515625" style="73" customWidth="1"/>
    <col min="4" max="4" width="36.7109375" style="74" customWidth="1"/>
    <col min="5" max="5" width="13.28515625" style="74" customWidth="1"/>
    <col min="6" max="6" width="27.28515625" customWidth="1"/>
    <col min="7" max="8" width="12.28515625" customWidth="1"/>
    <col min="9" max="9" width="17.28515625" customWidth="1"/>
  </cols>
  <sheetData>
    <row r="1" spans="1:12" ht="21" customHeight="1" thickBot="1" x14ac:dyDescent="0.3">
      <c r="A1" s="110" t="s">
        <v>419</v>
      </c>
      <c r="B1" s="78"/>
      <c r="G1" s="217"/>
    </row>
    <row r="2" spans="1:12" ht="16.5" thickTop="1" thickBot="1" x14ac:dyDescent="0.3">
      <c r="A2" s="133" t="s">
        <v>3</v>
      </c>
      <c r="B2" s="111">
        <v>220200</v>
      </c>
      <c r="G2" s="217"/>
    </row>
    <row r="3" spans="1:12" ht="26.25" customHeight="1" thickTop="1" thickBot="1" x14ac:dyDescent="0.3">
      <c r="G3" s="218"/>
    </row>
    <row r="4" spans="1:12" s="79" customFormat="1" ht="61.5" thickTop="1" thickBot="1" x14ac:dyDescent="0.3">
      <c r="A4" s="91" t="s">
        <v>6</v>
      </c>
      <c r="B4" s="92" t="s">
        <v>200</v>
      </c>
      <c r="C4" s="92" t="s">
        <v>10</v>
      </c>
      <c r="D4" s="93" t="s">
        <v>9</v>
      </c>
      <c r="E4" s="92" t="s">
        <v>196</v>
      </c>
      <c r="F4" s="92" t="s">
        <v>16</v>
      </c>
      <c r="G4" s="94" t="s">
        <v>197</v>
      </c>
      <c r="H4" s="103" t="s">
        <v>204</v>
      </c>
      <c r="I4" s="95" t="s">
        <v>198</v>
      </c>
    </row>
    <row r="5" spans="1:12" s="83" customFormat="1" ht="15.75" thickTop="1" x14ac:dyDescent="0.25">
      <c r="A5" s="104" t="s">
        <v>545</v>
      </c>
      <c r="B5" s="105" t="s">
        <v>205</v>
      </c>
      <c r="C5" s="105" t="s">
        <v>437</v>
      </c>
      <c r="D5" s="106">
        <v>42835</v>
      </c>
      <c r="E5" s="106">
        <v>42892</v>
      </c>
      <c r="F5" s="105" t="s">
        <v>601</v>
      </c>
      <c r="G5" s="80">
        <v>1</v>
      </c>
      <c r="H5" s="81">
        <v>1</v>
      </c>
      <c r="I5" s="82">
        <v>4.17</v>
      </c>
      <c r="J5"/>
      <c r="L5"/>
    </row>
    <row r="6" spans="1:12" s="83" customFormat="1" x14ac:dyDescent="0.25">
      <c r="A6" s="104" t="s">
        <v>551</v>
      </c>
      <c r="B6" s="105" t="s">
        <v>205</v>
      </c>
      <c r="C6" s="105" t="s">
        <v>437</v>
      </c>
      <c r="D6" s="106">
        <v>42835</v>
      </c>
      <c r="E6" s="106">
        <v>42892</v>
      </c>
      <c r="F6" s="105" t="s">
        <v>601</v>
      </c>
      <c r="G6" s="84">
        <v>1</v>
      </c>
      <c r="H6" s="85">
        <v>1</v>
      </c>
      <c r="I6" s="86">
        <v>4.41</v>
      </c>
      <c r="K6"/>
    </row>
    <row r="7" spans="1:12" s="83" customFormat="1" ht="15.75" thickBot="1" x14ac:dyDescent="0.3">
      <c r="A7" s="104" t="s">
        <v>552</v>
      </c>
      <c r="B7" s="105" t="s">
        <v>205</v>
      </c>
      <c r="C7" s="105" t="s">
        <v>437</v>
      </c>
      <c r="D7" s="106">
        <v>42835</v>
      </c>
      <c r="E7" s="106">
        <v>42892</v>
      </c>
      <c r="F7" s="105" t="s">
        <v>601</v>
      </c>
      <c r="G7" s="84">
        <v>1</v>
      </c>
      <c r="H7" s="85">
        <v>1</v>
      </c>
      <c r="I7" s="86">
        <v>4.32</v>
      </c>
    </row>
    <row r="8" spans="1:12" s="87" customFormat="1" ht="16.5" thickTop="1" thickBot="1" x14ac:dyDescent="0.3">
      <c r="A8" s="107" t="s">
        <v>199</v>
      </c>
      <c r="B8" s="108"/>
      <c r="C8" s="108"/>
      <c r="D8" s="108"/>
      <c r="E8" s="108"/>
      <c r="F8" s="109"/>
      <c r="G8" s="88">
        <v>3</v>
      </c>
      <c r="H8" s="96">
        <v>3</v>
      </c>
      <c r="I8" s="89">
        <v>12.9</v>
      </c>
    </row>
    <row r="9" spans="1:12" s="87" customFormat="1" ht="15.75" thickTop="1" x14ac:dyDescent="0.25">
      <c r="A9"/>
      <c r="B9"/>
      <c r="C9"/>
      <c r="D9"/>
      <c r="E9"/>
      <c r="F9"/>
      <c r="G9"/>
      <c r="H9"/>
      <c r="I9"/>
    </row>
    <row r="10" spans="1:12" s="90" customFormat="1" x14ac:dyDescent="0.25">
      <c r="A10"/>
      <c r="B10"/>
      <c r="C10"/>
      <c r="D10"/>
      <c r="E10"/>
      <c r="F10"/>
      <c r="G10"/>
      <c r="H10"/>
      <c r="I10"/>
    </row>
    <row r="11" spans="1:12" x14ac:dyDescent="0.25">
      <c r="B11"/>
      <c r="C11"/>
      <c r="D11"/>
      <c r="E11"/>
    </row>
    <row r="12" spans="1:12" x14ac:dyDescent="0.25"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ht="15.75" thickBot="1" x14ac:dyDescent="0.3">
      <c r="B80"/>
      <c r="C80"/>
      <c r="D80"/>
      <c r="E80"/>
    </row>
    <row r="81" spans="2:5" ht="16.5" thickTop="1" thickBot="1" x14ac:dyDescent="0.3">
      <c r="B81"/>
      <c r="C81"/>
      <c r="D81"/>
      <c r="E81"/>
    </row>
    <row r="82" spans="2:5" ht="15.75" thickTop="1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  <row r="751" spans="2:5" x14ac:dyDescent="0.25">
      <c r="B751"/>
      <c r="C751"/>
      <c r="D751"/>
      <c r="E751"/>
    </row>
    <row r="752" spans="2:5" x14ac:dyDescent="0.25">
      <c r="B752"/>
      <c r="C752"/>
      <c r="D752"/>
      <c r="E752"/>
    </row>
    <row r="753" spans="2:5" x14ac:dyDescent="0.25">
      <c r="B753"/>
      <c r="C753"/>
      <c r="D753"/>
      <c r="E753"/>
    </row>
    <row r="754" spans="2:5" x14ac:dyDescent="0.25">
      <c r="B754"/>
      <c r="C754"/>
      <c r="D754"/>
      <c r="E754"/>
    </row>
    <row r="755" spans="2:5" x14ac:dyDescent="0.25">
      <c r="B755"/>
      <c r="C755"/>
      <c r="D755"/>
      <c r="E755"/>
    </row>
    <row r="756" spans="2:5" x14ac:dyDescent="0.25">
      <c r="B756"/>
      <c r="C756"/>
      <c r="D756"/>
      <c r="E756"/>
    </row>
    <row r="757" spans="2:5" x14ac:dyDescent="0.25">
      <c r="B757"/>
      <c r="C757"/>
      <c r="D757"/>
      <c r="E757"/>
    </row>
    <row r="758" spans="2:5" x14ac:dyDescent="0.25">
      <c r="B758"/>
      <c r="C758"/>
      <c r="D758"/>
      <c r="E758"/>
    </row>
    <row r="759" spans="2:5" x14ac:dyDescent="0.25">
      <c r="B759"/>
      <c r="C759"/>
      <c r="D759"/>
      <c r="E759"/>
    </row>
    <row r="760" spans="2:5" x14ac:dyDescent="0.25">
      <c r="B760"/>
      <c r="C760"/>
      <c r="D760"/>
      <c r="E760"/>
    </row>
    <row r="761" spans="2:5" x14ac:dyDescent="0.25">
      <c r="B761"/>
      <c r="C761"/>
      <c r="D761"/>
      <c r="E761"/>
    </row>
    <row r="762" spans="2:5" x14ac:dyDescent="0.25">
      <c r="B762"/>
      <c r="C762"/>
      <c r="D762"/>
      <c r="E762"/>
    </row>
    <row r="763" spans="2:5" x14ac:dyDescent="0.25">
      <c r="B763"/>
      <c r="C763"/>
      <c r="D763"/>
      <c r="E763"/>
    </row>
    <row r="764" spans="2:5" x14ac:dyDescent="0.25">
      <c r="B764"/>
      <c r="C764"/>
      <c r="D764"/>
      <c r="E764"/>
    </row>
    <row r="765" spans="2:5" x14ac:dyDescent="0.25">
      <c r="B765"/>
      <c r="C765"/>
      <c r="D765"/>
      <c r="E765"/>
    </row>
    <row r="766" spans="2:5" x14ac:dyDescent="0.25">
      <c r="B766"/>
      <c r="C766"/>
      <c r="D766"/>
      <c r="E766"/>
    </row>
    <row r="767" spans="2:5" x14ac:dyDescent="0.25">
      <c r="B767"/>
      <c r="C767"/>
      <c r="D767"/>
      <c r="E767"/>
    </row>
    <row r="768" spans="2:5" x14ac:dyDescent="0.25">
      <c r="B768"/>
      <c r="C768"/>
      <c r="D768"/>
      <c r="E768"/>
    </row>
    <row r="769" spans="2:5" x14ac:dyDescent="0.25">
      <c r="B769"/>
      <c r="C769"/>
      <c r="D769"/>
      <c r="E769"/>
    </row>
    <row r="770" spans="2:5" x14ac:dyDescent="0.25">
      <c r="B770"/>
      <c r="C770"/>
      <c r="D770"/>
      <c r="E770"/>
    </row>
    <row r="771" spans="2:5" x14ac:dyDescent="0.25">
      <c r="B771"/>
      <c r="C771"/>
      <c r="D771"/>
      <c r="E771"/>
    </row>
    <row r="772" spans="2:5" x14ac:dyDescent="0.25">
      <c r="B772"/>
      <c r="C772"/>
      <c r="D772"/>
      <c r="E772"/>
    </row>
    <row r="773" spans="2:5" x14ac:dyDescent="0.25">
      <c r="B773"/>
      <c r="C773"/>
      <c r="D773"/>
      <c r="E773"/>
    </row>
    <row r="774" spans="2:5" x14ac:dyDescent="0.25">
      <c r="B774"/>
      <c r="C774"/>
      <c r="D774"/>
      <c r="E774"/>
    </row>
    <row r="775" spans="2:5" x14ac:dyDescent="0.25">
      <c r="B775"/>
      <c r="C775"/>
      <c r="D775"/>
      <c r="E775"/>
    </row>
    <row r="776" spans="2:5" x14ac:dyDescent="0.25">
      <c r="B776"/>
      <c r="C776"/>
      <c r="D776"/>
      <c r="E776"/>
    </row>
    <row r="777" spans="2:5" x14ac:dyDescent="0.25">
      <c r="B777"/>
      <c r="C777"/>
      <c r="D777"/>
      <c r="E777"/>
    </row>
    <row r="778" spans="2:5" x14ac:dyDescent="0.25">
      <c r="B778"/>
      <c r="C778"/>
      <c r="D778"/>
      <c r="E778"/>
    </row>
    <row r="779" spans="2:5" x14ac:dyDescent="0.25">
      <c r="B779"/>
      <c r="C779"/>
      <c r="D779"/>
      <c r="E779"/>
    </row>
    <row r="780" spans="2:5" x14ac:dyDescent="0.25">
      <c r="B780"/>
      <c r="C780"/>
      <c r="D780"/>
      <c r="E780"/>
    </row>
    <row r="781" spans="2:5" x14ac:dyDescent="0.25">
      <c r="B781"/>
      <c r="C781"/>
      <c r="D781"/>
      <c r="E781"/>
    </row>
    <row r="782" spans="2:5" x14ac:dyDescent="0.25">
      <c r="B782"/>
      <c r="C782"/>
      <c r="D782"/>
      <c r="E782"/>
    </row>
    <row r="783" spans="2:5" x14ac:dyDescent="0.25">
      <c r="B783"/>
      <c r="C783"/>
      <c r="D783"/>
      <c r="E783"/>
    </row>
    <row r="784" spans="2:5" x14ac:dyDescent="0.25">
      <c r="B784"/>
      <c r="C784"/>
      <c r="D784"/>
      <c r="E784"/>
    </row>
    <row r="785" spans="2:5" x14ac:dyDescent="0.25">
      <c r="B785"/>
      <c r="C785"/>
      <c r="D785"/>
      <c r="E785"/>
    </row>
    <row r="786" spans="2:5" x14ac:dyDescent="0.25">
      <c r="B786"/>
      <c r="C786"/>
      <c r="D786"/>
      <c r="E786"/>
    </row>
    <row r="787" spans="2:5" x14ac:dyDescent="0.25">
      <c r="B787"/>
      <c r="C787"/>
      <c r="D787"/>
      <c r="E787"/>
    </row>
    <row r="788" spans="2:5" x14ac:dyDescent="0.25">
      <c r="B788"/>
      <c r="C788"/>
      <c r="D788"/>
      <c r="E788"/>
    </row>
    <row r="789" spans="2:5" x14ac:dyDescent="0.25">
      <c r="B789"/>
      <c r="C789"/>
      <c r="D789"/>
      <c r="E789"/>
    </row>
    <row r="790" spans="2:5" x14ac:dyDescent="0.25">
      <c r="B790"/>
      <c r="C790"/>
      <c r="D790"/>
      <c r="E790"/>
    </row>
    <row r="791" spans="2:5" x14ac:dyDescent="0.25">
      <c r="B791"/>
      <c r="C791"/>
      <c r="D791"/>
      <c r="E791"/>
    </row>
    <row r="792" spans="2:5" x14ac:dyDescent="0.25">
      <c r="B792"/>
      <c r="C792"/>
      <c r="D792"/>
      <c r="E792"/>
    </row>
    <row r="793" spans="2:5" x14ac:dyDescent="0.25">
      <c r="B793"/>
      <c r="C793"/>
      <c r="D793"/>
      <c r="E793"/>
    </row>
    <row r="794" spans="2:5" x14ac:dyDescent="0.25">
      <c r="B794"/>
      <c r="C794"/>
      <c r="D794"/>
      <c r="E794"/>
    </row>
    <row r="795" spans="2:5" x14ac:dyDescent="0.25">
      <c r="B795"/>
      <c r="C795"/>
      <c r="D795"/>
      <c r="E795"/>
    </row>
    <row r="796" spans="2:5" x14ac:dyDescent="0.25">
      <c r="B796"/>
      <c r="C796"/>
      <c r="D796"/>
      <c r="E796"/>
    </row>
    <row r="797" spans="2:5" x14ac:dyDescent="0.25">
      <c r="B797"/>
      <c r="C797"/>
      <c r="D797"/>
      <c r="E797"/>
    </row>
    <row r="798" spans="2:5" x14ac:dyDescent="0.25">
      <c r="B798"/>
      <c r="C798"/>
      <c r="D798"/>
      <c r="E798"/>
    </row>
    <row r="799" spans="2:5" x14ac:dyDescent="0.25">
      <c r="B799"/>
      <c r="C799"/>
      <c r="D799"/>
      <c r="E799"/>
    </row>
    <row r="800" spans="2:5" x14ac:dyDescent="0.25">
      <c r="B800"/>
      <c r="C800"/>
      <c r="D800"/>
      <c r="E800"/>
    </row>
    <row r="801" spans="2:5" x14ac:dyDescent="0.25">
      <c r="B801"/>
      <c r="C801"/>
      <c r="D801"/>
      <c r="E801"/>
    </row>
    <row r="802" spans="2:5" x14ac:dyDescent="0.25">
      <c r="B802"/>
      <c r="C802"/>
      <c r="D802"/>
      <c r="E802"/>
    </row>
    <row r="803" spans="2:5" x14ac:dyDescent="0.25">
      <c r="B803"/>
      <c r="C803"/>
      <c r="D803"/>
      <c r="E803"/>
    </row>
    <row r="804" spans="2:5" x14ac:dyDescent="0.25">
      <c r="B804"/>
      <c r="C804"/>
      <c r="D804"/>
      <c r="E804"/>
    </row>
    <row r="805" spans="2:5" x14ac:dyDescent="0.25">
      <c r="B805"/>
      <c r="C805"/>
      <c r="D805"/>
      <c r="E805"/>
    </row>
    <row r="806" spans="2:5" x14ac:dyDescent="0.25">
      <c r="B806"/>
      <c r="C806"/>
      <c r="D806"/>
      <c r="E806"/>
    </row>
    <row r="807" spans="2:5" x14ac:dyDescent="0.25">
      <c r="B807"/>
      <c r="C807"/>
      <c r="D807"/>
      <c r="E807"/>
    </row>
    <row r="808" spans="2:5" x14ac:dyDescent="0.25">
      <c r="B808"/>
      <c r="C808"/>
      <c r="D808"/>
      <c r="E808"/>
    </row>
    <row r="809" spans="2:5" x14ac:dyDescent="0.25">
      <c r="B809"/>
      <c r="C809"/>
      <c r="D809"/>
      <c r="E809"/>
    </row>
    <row r="810" spans="2:5" x14ac:dyDescent="0.25">
      <c r="B810"/>
      <c r="C810"/>
      <c r="D810"/>
      <c r="E810"/>
    </row>
    <row r="811" spans="2:5" x14ac:dyDescent="0.25">
      <c r="B811"/>
      <c r="C811"/>
      <c r="D811"/>
      <c r="E811"/>
    </row>
    <row r="812" spans="2:5" x14ac:dyDescent="0.25">
      <c r="B812"/>
      <c r="C812"/>
      <c r="D812"/>
      <c r="E812"/>
    </row>
    <row r="813" spans="2:5" x14ac:dyDescent="0.25">
      <c r="B813"/>
      <c r="C813"/>
      <c r="D813"/>
      <c r="E813"/>
    </row>
    <row r="814" spans="2:5" x14ac:dyDescent="0.25">
      <c r="B814"/>
      <c r="C814"/>
      <c r="D814"/>
      <c r="E814"/>
    </row>
    <row r="815" spans="2:5" x14ac:dyDescent="0.25">
      <c r="B815"/>
      <c r="C815"/>
      <c r="D815"/>
      <c r="E815"/>
    </row>
    <row r="816" spans="2:5" x14ac:dyDescent="0.25">
      <c r="B816"/>
      <c r="C816"/>
      <c r="D816"/>
      <c r="E816"/>
    </row>
    <row r="817" spans="2:5" x14ac:dyDescent="0.25">
      <c r="B817"/>
      <c r="C817"/>
      <c r="D817"/>
      <c r="E817"/>
    </row>
    <row r="818" spans="2:5" x14ac:dyDescent="0.25">
      <c r="B818"/>
      <c r="C818"/>
      <c r="D818"/>
      <c r="E818"/>
    </row>
    <row r="819" spans="2:5" x14ac:dyDescent="0.25">
      <c r="B819"/>
      <c r="C819"/>
      <c r="D819"/>
      <c r="E819"/>
    </row>
    <row r="820" spans="2:5" x14ac:dyDescent="0.25">
      <c r="B820"/>
      <c r="C820"/>
      <c r="D820"/>
      <c r="E820"/>
    </row>
    <row r="821" spans="2:5" x14ac:dyDescent="0.25">
      <c r="B821"/>
      <c r="C821"/>
      <c r="D821"/>
      <c r="E821"/>
    </row>
    <row r="822" spans="2:5" x14ac:dyDescent="0.25">
      <c r="B822"/>
      <c r="C822"/>
      <c r="D822"/>
      <c r="E822"/>
    </row>
    <row r="823" spans="2:5" x14ac:dyDescent="0.25">
      <c r="B823"/>
      <c r="C823"/>
      <c r="D823"/>
      <c r="E823"/>
    </row>
    <row r="824" spans="2:5" x14ac:dyDescent="0.25">
      <c r="B824"/>
      <c r="C824"/>
      <c r="D824"/>
      <c r="E824"/>
    </row>
    <row r="825" spans="2:5" x14ac:dyDescent="0.25">
      <c r="B825"/>
      <c r="C825"/>
      <c r="D825"/>
      <c r="E825"/>
    </row>
    <row r="826" spans="2:5" x14ac:dyDescent="0.25">
      <c r="B826"/>
      <c r="C826"/>
      <c r="D826"/>
      <c r="E826"/>
    </row>
    <row r="827" spans="2:5" x14ac:dyDescent="0.25">
      <c r="B827"/>
      <c r="C827"/>
      <c r="D827"/>
      <c r="E827"/>
    </row>
    <row r="828" spans="2:5" x14ac:dyDescent="0.25">
      <c r="B828"/>
      <c r="C828"/>
      <c r="D828"/>
      <c r="E828"/>
    </row>
    <row r="829" spans="2:5" x14ac:dyDescent="0.25">
      <c r="B829"/>
      <c r="C829"/>
      <c r="D829"/>
      <c r="E829"/>
    </row>
    <row r="830" spans="2:5" x14ac:dyDescent="0.25">
      <c r="B830"/>
      <c r="C830"/>
      <c r="D830"/>
      <c r="E830"/>
    </row>
    <row r="831" spans="2:5" x14ac:dyDescent="0.25">
      <c r="B831"/>
      <c r="C831"/>
      <c r="D831"/>
      <c r="E831"/>
    </row>
    <row r="832" spans="2:5" x14ac:dyDescent="0.25">
      <c r="B832"/>
      <c r="C832"/>
      <c r="D832"/>
      <c r="E832"/>
    </row>
    <row r="833" spans="2:5" x14ac:dyDescent="0.25">
      <c r="B833"/>
      <c r="C833"/>
      <c r="D833"/>
      <c r="E833"/>
    </row>
    <row r="834" spans="2:5" x14ac:dyDescent="0.25">
      <c r="B834"/>
      <c r="C834"/>
      <c r="D834"/>
      <c r="E834"/>
    </row>
    <row r="835" spans="2:5" x14ac:dyDescent="0.25">
      <c r="B835"/>
      <c r="C835"/>
      <c r="D835"/>
      <c r="E835"/>
    </row>
    <row r="836" spans="2:5" x14ac:dyDescent="0.25">
      <c r="B836"/>
      <c r="C836"/>
      <c r="D836"/>
      <c r="E836"/>
    </row>
    <row r="837" spans="2:5" x14ac:dyDescent="0.25">
      <c r="B837"/>
      <c r="C837"/>
      <c r="D837"/>
      <c r="E837"/>
    </row>
    <row r="838" spans="2:5" x14ac:dyDescent="0.25">
      <c r="B838"/>
      <c r="C838"/>
      <c r="D838"/>
      <c r="E838"/>
    </row>
    <row r="839" spans="2:5" x14ac:dyDescent="0.25">
      <c r="B839"/>
      <c r="C839"/>
      <c r="D839"/>
      <c r="E839"/>
    </row>
    <row r="840" spans="2:5" x14ac:dyDescent="0.25">
      <c r="B840"/>
      <c r="C840"/>
      <c r="D840"/>
      <c r="E840"/>
    </row>
    <row r="841" spans="2:5" x14ac:dyDescent="0.25">
      <c r="B841"/>
      <c r="C841"/>
      <c r="D841"/>
      <c r="E841"/>
    </row>
    <row r="842" spans="2:5" x14ac:dyDescent="0.25">
      <c r="B842"/>
      <c r="C842"/>
      <c r="D842"/>
      <c r="E842"/>
    </row>
    <row r="843" spans="2:5" x14ac:dyDescent="0.25">
      <c r="B843"/>
      <c r="C843"/>
      <c r="D843"/>
      <c r="E843"/>
    </row>
    <row r="844" spans="2:5" x14ac:dyDescent="0.25">
      <c r="B844"/>
      <c r="C844"/>
      <c r="D844"/>
      <c r="E844"/>
    </row>
    <row r="845" spans="2:5" x14ac:dyDescent="0.25">
      <c r="B845"/>
      <c r="C845"/>
      <c r="D845"/>
      <c r="E845"/>
    </row>
    <row r="846" spans="2:5" x14ac:dyDescent="0.25">
      <c r="B846"/>
      <c r="C846"/>
      <c r="D846"/>
      <c r="E846"/>
    </row>
    <row r="847" spans="2:5" x14ac:dyDescent="0.25">
      <c r="B847"/>
      <c r="C847"/>
      <c r="D847"/>
      <c r="E847"/>
    </row>
    <row r="848" spans="2:5" x14ac:dyDescent="0.25">
      <c r="B848"/>
      <c r="C848"/>
      <c r="D848"/>
      <c r="E848"/>
    </row>
    <row r="849" spans="2:5" x14ac:dyDescent="0.25">
      <c r="B849"/>
      <c r="C849"/>
      <c r="D849"/>
      <c r="E849"/>
    </row>
    <row r="850" spans="2:5" x14ac:dyDescent="0.25">
      <c r="B850"/>
      <c r="C850"/>
      <c r="D850"/>
      <c r="E850"/>
    </row>
    <row r="851" spans="2:5" x14ac:dyDescent="0.25">
      <c r="B851"/>
      <c r="C851"/>
      <c r="D851"/>
      <c r="E851"/>
    </row>
    <row r="852" spans="2:5" x14ac:dyDescent="0.25">
      <c r="B852"/>
      <c r="C852"/>
      <c r="D852"/>
      <c r="E852"/>
    </row>
    <row r="853" spans="2:5" x14ac:dyDescent="0.25">
      <c r="B853"/>
      <c r="C853"/>
      <c r="D853"/>
      <c r="E853"/>
    </row>
    <row r="854" spans="2:5" x14ac:dyDescent="0.25">
      <c r="B854"/>
      <c r="C854"/>
      <c r="D854"/>
      <c r="E854"/>
    </row>
    <row r="855" spans="2:5" x14ac:dyDescent="0.25">
      <c r="B855"/>
      <c r="C855"/>
      <c r="D855"/>
      <c r="E855"/>
    </row>
    <row r="856" spans="2:5" x14ac:dyDescent="0.25">
      <c r="B856"/>
      <c r="C856"/>
      <c r="D856"/>
      <c r="E856"/>
    </row>
    <row r="857" spans="2:5" x14ac:dyDescent="0.25">
      <c r="B857"/>
      <c r="C857"/>
      <c r="D857"/>
      <c r="E857"/>
    </row>
    <row r="858" spans="2:5" x14ac:dyDescent="0.25">
      <c r="B858"/>
      <c r="C858"/>
      <c r="D858"/>
      <c r="E858"/>
    </row>
    <row r="859" spans="2:5" x14ac:dyDescent="0.25">
      <c r="B859"/>
      <c r="C859"/>
      <c r="D859"/>
      <c r="E859"/>
    </row>
    <row r="860" spans="2:5" x14ac:dyDescent="0.25">
      <c r="B860"/>
      <c r="C860"/>
      <c r="D860"/>
      <c r="E860"/>
    </row>
    <row r="861" spans="2:5" x14ac:dyDescent="0.25">
      <c r="B861"/>
      <c r="C861"/>
      <c r="D861"/>
      <c r="E861"/>
    </row>
    <row r="862" spans="2:5" x14ac:dyDescent="0.25">
      <c r="B862"/>
      <c r="C862"/>
      <c r="D862"/>
      <c r="E862"/>
    </row>
    <row r="863" spans="2:5" x14ac:dyDescent="0.25">
      <c r="B863"/>
      <c r="C863"/>
      <c r="D863"/>
      <c r="E863"/>
    </row>
    <row r="864" spans="2:5" x14ac:dyDescent="0.25">
      <c r="B864"/>
      <c r="C864"/>
      <c r="D864"/>
      <c r="E864"/>
    </row>
    <row r="865" spans="2:5" x14ac:dyDescent="0.25">
      <c r="B865"/>
      <c r="C865"/>
      <c r="D865"/>
      <c r="E865"/>
    </row>
    <row r="866" spans="2:5" x14ac:dyDescent="0.25">
      <c r="B866"/>
      <c r="C866"/>
      <c r="D866"/>
      <c r="E866"/>
    </row>
    <row r="867" spans="2:5" x14ac:dyDescent="0.25">
      <c r="B867"/>
      <c r="C867"/>
      <c r="D867"/>
      <c r="E867"/>
    </row>
    <row r="868" spans="2:5" x14ac:dyDescent="0.25">
      <c r="B868"/>
      <c r="C868"/>
      <c r="D868"/>
      <c r="E868"/>
    </row>
    <row r="869" spans="2:5" x14ac:dyDescent="0.25">
      <c r="B869"/>
      <c r="C869"/>
      <c r="D869"/>
      <c r="E869"/>
    </row>
    <row r="870" spans="2:5" x14ac:dyDescent="0.25">
      <c r="B870"/>
      <c r="C870"/>
      <c r="D870"/>
      <c r="E870"/>
    </row>
    <row r="871" spans="2:5" x14ac:dyDescent="0.25">
      <c r="B871"/>
      <c r="C871"/>
      <c r="D871"/>
      <c r="E871"/>
    </row>
    <row r="872" spans="2:5" x14ac:dyDescent="0.25">
      <c r="B872"/>
      <c r="C872"/>
      <c r="D872"/>
      <c r="E872"/>
    </row>
    <row r="873" spans="2:5" x14ac:dyDescent="0.25">
      <c r="B873"/>
      <c r="C873"/>
      <c r="D873"/>
      <c r="E873"/>
    </row>
    <row r="874" spans="2:5" x14ac:dyDescent="0.25">
      <c r="B874"/>
      <c r="C874"/>
      <c r="D874"/>
      <c r="E874"/>
    </row>
    <row r="875" spans="2:5" x14ac:dyDescent="0.25">
      <c r="B875"/>
      <c r="C875"/>
      <c r="D875"/>
      <c r="E875"/>
    </row>
    <row r="876" spans="2:5" x14ac:dyDescent="0.25">
      <c r="B876"/>
      <c r="C876"/>
      <c r="D876"/>
      <c r="E876"/>
    </row>
    <row r="877" spans="2:5" x14ac:dyDescent="0.25">
      <c r="B877"/>
      <c r="C877"/>
      <c r="D877"/>
      <c r="E877"/>
    </row>
    <row r="878" spans="2:5" x14ac:dyDescent="0.25">
      <c r="B878"/>
      <c r="C878"/>
      <c r="D878"/>
      <c r="E878"/>
    </row>
    <row r="879" spans="2:5" x14ac:dyDescent="0.25">
      <c r="B879"/>
      <c r="C879"/>
      <c r="D879"/>
      <c r="E879"/>
    </row>
    <row r="880" spans="2:5" x14ac:dyDescent="0.25">
      <c r="B880"/>
      <c r="C880"/>
      <c r="D880"/>
      <c r="E880"/>
    </row>
    <row r="881" spans="2:5" x14ac:dyDescent="0.25">
      <c r="B881"/>
      <c r="C881"/>
      <c r="D881"/>
      <c r="E881"/>
    </row>
    <row r="882" spans="2:5" x14ac:dyDescent="0.25">
      <c r="B882"/>
      <c r="C882"/>
      <c r="D882"/>
      <c r="E882"/>
    </row>
    <row r="883" spans="2:5" x14ac:dyDescent="0.25">
      <c r="B883"/>
      <c r="C883"/>
      <c r="D883"/>
      <c r="E883"/>
    </row>
    <row r="884" spans="2:5" x14ac:dyDescent="0.25">
      <c r="B884"/>
      <c r="C884"/>
      <c r="D884"/>
      <c r="E884"/>
    </row>
    <row r="885" spans="2:5" x14ac:dyDescent="0.25">
      <c r="B885"/>
      <c r="C885"/>
      <c r="D885"/>
      <c r="E885"/>
    </row>
    <row r="886" spans="2:5" x14ac:dyDescent="0.25">
      <c r="B886"/>
      <c r="C886"/>
      <c r="D886"/>
      <c r="E886"/>
    </row>
    <row r="887" spans="2:5" x14ac:dyDescent="0.25">
      <c r="B887"/>
      <c r="C887"/>
      <c r="D887"/>
      <c r="E887"/>
    </row>
    <row r="888" spans="2:5" x14ac:dyDescent="0.25">
      <c r="B888"/>
      <c r="C888"/>
      <c r="D888"/>
      <c r="E888"/>
    </row>
    <row r="889" spans="2:5" x14ac:dyDescent="0.25">
      <c r="B889"/>
      <c r="C889"/>
      <c r="D889"/>
      <c r="E889"/>
    </row>
    <row r="890" spans="2:5" x14ac:dyDescent="0.25">
      <c r="B890"/>
      <c r="C890"/>
      <c r="D890"/>
      <c r="E890"/>
    </row>
    <row r="891" spans="2:5" x14ac:dyDescent="0.25">
      <c r="B891"/>
      <c r="C891"/>
      <c r="D891"/>
      <c r="E891"/>
    </row>
    <row r="892" spans="2:5" x14ac:dyDescent="0.25">
      <c r="B892"/>
      <c r="C892"/>
      <c r="D892"/>
      <c r="E892"/>
    </row>
    <row r="893" spans="2:5" x14ac:dyDescent="0.25">
      <c r="B893"/>
      <c r="C893"/>
      <c r="D893"/>
      <c r="E893"/>
    </row>
    <row r="894" spans="2:5" x14ac:dyDescent="0.25">
      <c r="B894"/>
      <c r="C894"/>
      <c r="D894"/>
      <c r="E894"/>
    </row>
    <row r="895" spans="2:5" x14ac:dyDescent="0.25">
      <c r="B895"/>
      <c r="C895"/>
      <c r="D895"/>
      <c r="E895"/>
    </row>
    <row r="896" spans="2:5" x14ac:dyDescent="0.25">
      <c r="B896"/>
      <c r="C896"/>
      <c r="D896"/>
      <c r="E896"/>
    </row>
    <row r="897" spans="2:5" x14ac:dyDescent="0.25">
      <c r="B897"/>
      <c r="C897"/>
      <c r="D897"/>
      <c r="E897"/>
    </row>
    <row r="898" spans="2:5" x14ac:dyDescent="0.25">
      <c r="B898"/>
      <c r="C898"/>
      <c r="D898"/>
      <c r="E898"/>
    </row>
    <row r="899" spans="2:5" x14ac:dyDescent="0.25">
      <c r="B899"/>
      <c r="C899"/>
      <c r="D899"/>
      <c r="E899"/>
    </row>
    <row r="900" spans="2:5" x14ac:dyDescent="0.25">
      <c r="B900"/>
      <c r="C900"/>
      <c r="D900"/>
      <c r="E900"/>
    </row>
    <row r="901" spans="2:5" x14ac:dyDescent="0.25">
      <c r="B901"/>
      <c r="C901"/>
      <c r="D901"/>
      <c r="E901"/>
    </row>
    <row r="902" spans="2:5" x14ac:dyDescent="0.25">
      <c r="B902"/>
      <c r="C902"/>
      <c r="D902"/>
      <c r="E902"/>
    </row>
    <row r="903" spans="2:5" x14ac:dyDescent="0.25">
      <c r="B903"/>
      <c r="C903"/>
      <c r="D903"/>
      <c r="E903"/>
    </row>
    <row r="904" spans="2:5" x14ac:dyDescent="0.25">
      <c r="B904"/>
      <c r="C904"/>
      <c r="D904"/>
      <c r="E904"/>
    </row>
    <row r="905" spans="2:5" x14ac:dyDescent="0.25">
      <c r="B905"/>
      <c r="C905"/>
      <c r="D905"/>
      <c r="E905"/>
    </row>
    <row r="906" spans="2:5" x14ac:dyDescent="0.25">
      <c r="B906"/>
      <c r="C906"/>
      <c r="D906"/>
      <c r="E906"/>
    </row>
    <row r="907" spans="2:5" x14ac:dyDescent="0.25">
      <c r="B907"/>
      <c r="C907"/>
      <c r="D907"/>
      <c r="E907"/>
    </row>
    <row r="908" spans="2:5" x14ac:dyDescent="0.25">
      <c r="B908"/>
      <c r="C908"/>
      <c r="D908"/>
      <c r="E908"/>
    </row>
    <row r="909" spans="2:5" x14ac:dyDescent="0.25">
      <c r="B909"/>
      <c r="C909"/>
      <c r="D909"/>
      <c r="E909"/>
    </row>
    <row r="910" spans="2:5" x14ac:dyDescent="0.25">
      <c r="B910"/>
      <c r="C910"/>
      <c r="D910"/>
      <c r="E910"/>
    </row>
    <row r="911" spans="2:5" x14ac:dyDescent="0.25">
      <c r="B911"/>
      <c r="C911"/>
      <c r="D911"/>
      <c r="E911"/>
    </row>
    <row r="912" spans="2:5" x14ac:dyDescent="0.25">
      <c r="B912"/>
      <c r="C912"/>
      <c r="D912"/>
      <c r="E912"/>
    </row>
    <row r="913" spans="2:5" x14ac:dyDescent="0.25">
      <c r="B913"/>
      <c r="C913"/>
      <c r="D913"/>
      <c r="E913"/>
    </row>
    <row r="914" spans="2:5" x14ac:dyDescent="0.25">
      <c r="B914"/>
      <c r="C914"/>
      <c r="D914"/>
      <c r="E914"/>
    </row>
    <row r="915" spans="2:5" x14ac:dyDescent="0.25">
      <c r="B915"/>
      <c r="C915"/>
      <c r="D915"/>
      <c r="E915"/>
    </row>
    <row r="916" spans="2:5" x14ac:dyDescent="0.25">
      <c r="B916"/>
      <c r="C916"/>
      <c r="D916"/>
      <c r="E916"/>
    </row>
    <row r="917" spans="2:5" x14ac:dyDescent="0.25">
      <c r="B917"/>
      <c r="C917"/>
      <c r="D917"/>
      <c r="E917"/>
    </row>
    <row r="918" spans="2:5" x14ac:dyDescent="0.25">
      <c r="B918"/>
      <c r="C918"/>
      <c r="D918"/>
      <c r="E918"/>
    </row>
    <row r="919" spans="2:5" x14ac:dyDescent="0.25">
      <c r="B919"/>
      <c r="C919"/>
      <c r="D919"/>
      <c r="E919"/>
    </row>
    <row r="920" spans="2:5" x14ac:dyDescent="0.25">
      <c r="B920"/>
      <c r="C920"/>
      <c r="D920"/>
      <c r="E920"/>
    </row>
    <row r="921" spans="2:5" x14ac:dyDescent="0.25">
      <c r="B921"/>
      <c r="C921"/>
      <c r="D921"/>
      <c r="E921"/>
    </row>
    <row r="922" spans="2:5" x14ac:dyDescent="0.25">
      <c r="B922"/>
      <c r="C922"/>
      <c r="D922"/>
      <c r="E922"/>
    </row>
    <row r="923" spans="2:5" x14ac:dyDescent="0.25">
      <c r="B923"/>
      <c r="C923"/>
      <c r="D923"/>
      <c r="E923"/>
    </row>
    <row r="924" spans="2:5" x14ac:dyDescent="0.25">
      <c r="B924"/>
      <c r="C924"/>
      <c r="D924"/>
      <c r="E924"/>
    </row>
    <row r="925" spans="2:5" x14ac:dyDescent="0.25">
      <c r="B925"/>
      <c r="C925"/>
      <c r="D925"/>
      <c r="E925"/>
    </row>
    <row r="926" spans="2:5" x14ac:dyDescent="0.25">
      <c r="B926"/>
      <c r="C926"/>
      <c r="D926"/>
      <c r="E926"/>
    </row>
    <row r="927" spans="2:5" x14ac:dyDescent="0.25">
      <c r="B927"/>
      <c r="C927"/>
      <c r="D927"/>
      <c r="E927"/>
    </row>
    <row r="928" spans="2:5" x14ac:dyDescent="0.25">
      <c r="B928"/>
      <c r="C928"/>
      <c r="D928"/>
      <c r="E928"/>
    </row>
    <row r="929" spans="2:5" x14ac:dyDescent="0.25">
      <c r="B929"/>
      <c r="C929"/>
      <c r="D929"/>
      <c r="E929"/>
    </row>
    <row r="930" spans="2:5" x14ac:dyDescent="0.25">
      <c r="B930"/>
      <c r="C930"/>
      <c r="D930"/>
      <c r="E930"/>
    </row>
    <row r="931" spans="2:5" x14ac:dyDescent="0.25">
      <c r="B931"/>
      <c r="C931"/>
      <c r="D931"/>
      <c r="E931"/>
    </row>
    <row r="932" spans="2:5" x14ac:dyDescent="0.25">
      <c r="B932"/>
      <c r="C932"/>
      <c r="D932"/>
      <c r="E932"/>
    </row>
    <row r="933" spans="2:5" x14ac:dyDescent="0.25">
      <c r="B933"/>
      <c r="C933"/>
      <c r="D933"/>
      <c r="E933"/>
    </row>
    <row r="934" spans="2:5" x14ac:dyDescent="0.25">
      <c r="B934"/>
      <c r="C934"/>
      <c r="D934"/>
      <c r="E934"/>
    </row>
    <row r="935" spans="2:5" x14ac:dyDescent="0.25">
      <c r="B935"/>
      <c r="C935"/>
      <c r="D935"/>
      <c r="E935"/>
    </row>
    <row r="936" spans="2:5" x14ac:dyDescent="0.25">
      <c r="B936"/>
      <c r="C936"/>
      <c r="D936"/>
      <c r="E936"/>
    </row>
    <row r="937" spans="2:5" x14ac:dyDescent="0.25">
      <c r="B937"/>
      <c r="C937"/>
      <c r="D937"/>
      <c r="E937"/>
    </row>
    <row r="938" spans="2:5" x14ac:dyDescent="0.25">
      <c r="B938"/>
      <c r="C938"/>
      <c r="D938"/>
      <c r="E938"/>
    </row>
    <row r="939" spans="2:5" x14ac:dyDescent="0.25">
      <c r="B939"/>
      <c r="C939"/>
      <c r="D939"/>
      <c r="E939"/>
    </row>
    <row r="940" spans="2:5" x14ac:dyDescent="0.25">
      <c r="B940"/>
      <c r="C940"/>
      <c r="D940"/>
      <c r="E940"/>
    </row>
    <row r="941" spans="2:5" x14ac:dyDescent="0.25">
      <c r="B941"/>
      <c r="C941"/>
      <c r="D941"/>
      <c r="E941"/>
    </row>
    <row r="942" spans="2:5" x14ac:dyDescent="0.25">
      <c r="B942"/>
      <c r="C942"/>
      <c r="D942"/>
      <c r="E942"/>
    </row>
    <row r="943" spans="2:5" x14ac:dyDescent="0.25">
      <c r="B943"/>
      <c r="C943"/>
      <c r="D943"/>
      <c r="E943"/>
    </row>
    <row r="944" spans="2:5" x14ac:dyDescent="0.25">
      <c r="B944"/>
      <c r="C944"/>
      <c r="D944"/>
      <c r="E944"/>
    </row>
    <row r="945" spans="2:5" x14ac:dyDescent="0.25">
      <c r="B945"/>
      <c r="C945"/>
      <c r="D945"/>
      <c r="E945"/>
    </row>
    <row r="946" spans="2:5" x14ac:dyDescent="0.25">
      <c r="B946"/>
      <c r="C946"/>
      <c r="D946"/>
      <c r="E946"/>
    </row>
    <row r="947" spans="2:5" x14ac:dyDescent="0.25">
      <c r="B947"/>
      <c r="C947"/>
      <c r="D947"/>
      <c r="E947"/>
    </row>
    <row r="948" spans="2:5" x14ac:dyDescent="0.25">
      <c r="B948"/>
      <c r="C948"/>
      <c r="D948"/>
      <c r="E948"/>
    </row>
    <row r="949" spans="2:5" x14ac:dyDescent="0.25">
      <c r="B949"/>
      <c r="C949"/>
      <c r="D949"/>
      <c r="E949"/>
    </row>
    <row r="950" spans="2:5" x14ac:dyDescent="0.25">
      <c r="B950"/>
      <c r="C950"/>
      <c r="D950"/>
      <c r="E950"/>
    </row>
    <row r="951" spans="2:5" x14ac:dyDescent="0.25">
      <c r="B951"/>
      <c r="C951"/>
      <c r="D951"/>
      <c r="E951"/>
    </row>
    <row r="952" spans="2:5" x14ac:dyDescent="0.25">
      <c r="B952"/>
      <c r="C952"/>
      <c r="D952"/>
      <c r="E952"/>
    </row>
    <row r="953" spans="2:5" x14ac:dyDescent="0.25">
      <c r="B953"/>
      <c r="C953"/>
      <c r="D953"/>
      <c r="E953"/>
    </row>
    <row r="954" spans="2:5" x14ac:dyDescent="0.25">
      <c r="B954"/>
      <c r="C954"/>
      <c r="D954"/>
      <c r="E954"/>
    </row>
    <row r="955" spans="2:5" x14ac:dyDescent="0.25">
      <c r="B955"/>
      <c r="C955"/>
      <c r="D955"/>
      <c r="E955"/>
    </row>
    <row r="956" spans="2:5" x14ac:dyDescent="0.25">
      <c r="B956"/>
      <c r="C956"/>
      <c r="D956"/>
      <c r="E956"/>
    </row>
    <row r="957" spans="2:5" x14ac:dyDescent="0.25">
      <c r="B957"/>
      <c r="C957"/>
      <c r="D957"/>
      <c r="E957"/>
    </row>
    <row r="958" spans="2:5" x14ac:dyDescent="0.25">
      <c r="B958"/>
      <c r="C958"/>
      <c r="D958"/>
      <c r="E958"/>
    </row>
    <row r="959" spans="2:5" x14ac:dyDescent="0.25">
      <c r="B959"/>
      <c r="C959"/>
      <c r="D959"/>
      <c r="E959"/>
    </row>
    <row r="960" spans="2:5" x14ac:dyDescent="0.25">
      <c r="B960"/>
      <c r="C960"/>
      <c r="D960"/>
      <c r="E960"/>
    </row>
    <row r="961" spans="2:5" x14ac:dyDescent="0.25">
      <c r="B961"/>
      <c r="C961"/>
      <c r="D961"/>
      <c r="E961"/>
    </row>
    <row r="962" spans="2:5" x14ac:dyDescent="0.25">
      <c r="B962"/>
      <c r="C962"/>
      <c r="D962"/>
      <c r="E962"/>
    </row>
    <row r="963" spans="2:5" x14ac:dyDescent="0.25">
      <c r="B963"/>
      <c r="C963"/>
      <c r="D963"/>
      <c r="E963"/>
    </row>
    <row r="964" spans="2:5" x14ac:dyDescent="0.25">
      <c r="B964"/>
      <c r="C964"/>
      <c r="D964"/>
      <c r="E964"/>
    </row>
    <row r="965" spans="2:5" x14ac:dyDescent="0.25">
      <c r="B965"/>
      <c r="C965"/>
      <c r="D965"/>
      <c r="E965"/>
    </row>
    <row r="966" spans="2:5" x14ac:dyDescent="0.25">
      <c r="B966"/>
      <c r="C966"/>
      <c r="D966"/>
      <c r="E966"/>
    </row>
    <row r="967" spans="2:5" x14ac:dyDescent="0.25">
      <c r="B967"/>
      <c r="C967"/>
      <c r="D967"/>
      <c r="E967"/>
    </row>
    <row r="968" spans="2:5" x14ac:dyDescent="0.25">
      <c r="B968"/>
      <c r="C968"/>
      <c r="D968"/>
      <c r="E968"/>
    </row>
    <row r="969" spans="2:5" x14ac:dyDescent="0.25">
      <c r="B969"/>
      <c r="C969"/>
      <c r="D969"/>
      <c r="E969"/>
    </row>
    <row r="970" spans="2:5" x14ac:dyDescent="0.25">
      <c r="B970"/>
      <c r="C970"/>
      <c r="D970"/>
      <c r="E970"/>
    </row>
    <row r="971" spans="2:5" x14ac:dyDescent="0.25">
      <c r="B971"/>
      <c r="C971"/>
      <c r="D971"/>
      <c r="E971"/>
    </row>
    <row r="972" spans="2:5" x14ac:dyDescent="0.25">
      <c r="B972"/>
      <c r="C972"/>
      <c r="D972"/>
      <c r="E972"/>
    </row>
    <row r="973" spans="2:5" x14ac:dyDescent="0.25">
      <c r="B973"/>
      <c r="C973"/>
      <c r="D973"/>
      <c r="E973"/>
    </row>
    <row r="974" spans="2:5" x14ac:dyDescent="0.25">
      <c r="B974"/>
      <c r="C974"/>
      <c r="D974"/>
      <c r="E974"/>
    </row>
    <row r="975" spans="2:5" x14ac:dyDescent="0.25">
      <c r="B975"/>
      <c r="C975"/>
      <c r="D975"/>
      <c r="E975"/>
    </row>
    <row r="976" spans="2:5" x14ac:dyDescent="0.25">
      <c r="B976"/>
      <c r="C976"/>
      <c r="D976"/>
      <c r="E976"/>
    </row>
    <row r="977" spans="2:5" x14ac:dyDescent="0.25">
      <c r="B977"/>
      <c r="C977"/>
      <c r="D977"/>
      <c r="E977"/>
    </row>
    <row r="978" spans="2:5" x14ac:dyDescent="0.25">
      <c r="B978"/>
      <c r="C978"/>
      <c r="D978"/>
      <c r="E978"/>
    </row>
    <row r="979" spans="2:5" x14ac:dyDescent="0.25">
      <c r="B979"/>
      <c r="C979"/>
      <c r="D979"/>
      <c r="E979"/>
    </row>
    <row r="980" spans="2:5" x14ac:dyDescent="0.25">
      <c r="B980"/>
      <c r="C980"/>
      <c r="D980"/>
      <c r="E980"/>
    </row>
    <row r="981" spans="2:5" x14ac:dyDescent="0.25">
      <c r="B981"/>
      <c r="C981"/>
      <c r="D981"/>
      <c r="E981"/>
    </row>
    <row r="982" spans="2:5" x14ac:dyDescent="0.25">
      <c r="B982"/>
      <c r="C982"/>
      <c r="D982"/>
      <c r="E982"/>
    </row>
    <row r="983" spans="2:5" x14ac:dyDescent="0.25">
      <c r="B983"/>
      <c r="C983"/>
      <c r="D983"/>
      <c r="E983"/>
    </row>
    <row r="984" spans="2:5" x14ac:dyDescent="0.25">
      <c r="B984"/>
      <c r="C984"/>
      <c r="D984"/>
      <c r="E984"/>
    </row>
    <row r="985" spans="2:5" x14ac:dyDescent="0.25">
      <c r="B985"/>
      <c r="C985"/>
      <c r="D985"/>
      <c r="E985"/>
    </row>
    <row r="986" spans="2:5" x14ac:dyDescent="0.25">
      <c r="B986"/>
      <c r="C986"/>
      <c r="D986"/>
      <c r="E986"/>
    </row>
    <row r="987" spans="2:5" x14ac:dyDescent="0.25">
      <c r="B987"/>
      <c r="C987"/>
      <c r="D987"/>
      <c r="E987"/>
    </row>
    <row r="988" spans="2:5" x14ac:dyDescent="0.25">
      <c r="B988"/>
      <c r="C988"/>
      <c r="D988"/>
      <c r="E988"/>
    </row>
    <row r="989" spans="2:5" x14ac:dyDescent="0.25">
      <c r="B989"/>
      <c r="C989"/>
      <c r="D989"/>
      <c r="E989"/>
    </row>
    <row r="990" spans="2:5" x14ac:dyDescent="0.25">
      <c r="B990"/>
      <c r="C990"/>
      <c r="D990"/>
      <c r="E990"/>
    </row>
    <row r="991" spans="2:5" x14ac:dyDescent="0.25">
      <c r="B991"/>
      <c r="C991"/>
      <c r="D991"/>
      <c r="E991"/>
    </row>
    <row r="992" spans="2:5" x14ac:dyDescent="0.25">
      <c r="B992"/>
      <c r="C992"/>
      <c r="D992"/>
      <c r="E992"/>
    </row>
    <row r="993" spans="2:5" x14ac:dyDescent="0.25">
      <c r="B993"/>
      <c r="C993"/>
      <c r="D993"/>
      <c r="E993"/>
    </row>
    <row r="994" spans="2:5" x14ac:dyDescent="0.25">
      <c r="B994"/>
      <c r="C994"/>
      <c r="D994"/>
      <c r="E994"/>
    </row>
    <row r="995" spans="2:5" x14ac:dyDescent="0.25">
      <c r="B995"/>
      <c r="C995"/>
      <c r="D995"/>
      <c r="E995"/>
    </row>
    <row r="996" spans="2:5" x14ac:dyDescent="0.25">
      <c r="B996"/>
      <c r="C996"/>
      <c r="D996"/>
      <c r="E996"/>
    </row>
    <row r="997" spans="2:5" x14ac:dyDescent="0.25">
      <c r="B997"/>
      <c r="C997"/>
      <c r="D997"/>
      <c r="E997"/>
    </row>
    <row r="998" spans="2:5" x14ac:dyDescent="0.25">
      <c r="B998"/>
      <c r="C998"/>
      <c r="D998"/>
      <c r="E998"/>
    </row>
    <row r="999" spans="2:5" x14ac:dyDescent="0.25">
      <c r="B999"/>
      <c r="C999"/>
      <c r="D999"/>
      <c r="E999"/>
    </row>
    <row r="1000" spans="2:5" x14ac:dyDescent="0.25">
      <c r="B1000"/>
      <c r="C1000"/>
      <c r="D1000"/>
      <c r="E1000"/>
    </row>
    <row r="1001" spans="2:5" x14ac:dyDescent="0.25">
      <c r="B1001"/>
      <c r="C1001"/>
      <c r="D1001"/>
      <c r="E1001"/>
    </row>
    <row r="1002" spans="2:5" x14ac:dyDescent="0.25">
      <c r="B1002"/>
      <c r="C1002"/>
      <c r="D1002"/>
      <c r="E1002"/>
    </row>
    <row r="1003" spans="2:5" x14ac:dyDescent="0.25">
      <c r="B1003"/>
      <c r="C1003"/>
      <c r="D1003"/>
      <c r="E1003"/>
    </row>
  </sheetData>
  <sheetProtection algorithmName="SHA-512" hashValue="0dMXN+VkpcfB6eFGLoE9Yya8Qx4IyMH2jpE3GPYmruRH5LVosVJsbRSX3L6xJPygE/yqIUTaGFUhfdFMoSk70A==" saltValue="WE8uJt7uUOn3hUPokEd+e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Plan2</vt:lpstr>
      <vt:lpstr>plan3</vt:lpstr>
      <vt:lpstr>Plan1</vt:lpstr>
      <vt:lpstr>Menu</vt:lpstr>
      <vt:lpstr>180.000</vt:lpstr>
      <vt:lpstr>190.000</vt:lpstr>
      <vt:lpstr>210.300</vt:lpstr>
      <vt:lpstr>220.100</vt:lpstr>
      <vt:lpstr>220.200</vt:lpstr>
      <vt:lpstr>220.300</vt:lpstr>
      <vt:lpstr>220.400</vt:lpstr>
      <vt:lpstr>220.410</vt:lpstr>
      <vt:lpstr>220.500</vt:lpstr>
      <vt:lpstr>220.600</vt:lpstr>
      <vt:lpstr>230.100</vt:lpstr>
      <vt:lpstr>260.000</vt:lpstr>
      <vt:lpstr>260.100</vt:lpstr>
      <vt:lpstr>260.300</vt:lpstr>
      <vt:lpstr>270.300</vt:lpstr>
      <vt:lpstr>270.400</vt:lpstr>
      <vt:lpstr>280.100</vt:lpstr>
      <vt:lpstr>280.200</vt:lpstr>
      <vt:lpstr>280.300</vt:lpstr>
      <vt:lpstr>280.400</vt:lpstr>
      <vt:lpstr>290.000</vt:lpstr>
      <vt:lpstr>310.000</vt:lpstr>
      <vt:lpstr>400.000</vt:lpstr>
      <vt:lpstr>600.000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dcterms:created xsi:type="dcterms:W3CDTF">2016-06-16T18:33:52Z</dcterms:created>
  <dcterms:modified xsi:type="dcterms:W3CDTF">2019-10-21T12:08:37Z</dcterms:modified>
</cp:coreProperties>
</file>