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09 - MEDICAMENTO HUMANO  ok\"/>
    </mc:Choice>
  </mc:AlternateContent>
  <bookViews>
    <workbookView xWindow="0" yWindow="0" windowWidth="24000" windowHeight="9735" tabRatio="142" firstSheet="3" activeTab="3"/>
  </bookViews>
  <sheets>
    <sheet name="controle saldo" sheetId="3" state="hidden" r:id="rId1"/>
    <sheet name="c.c" sheetId="2" state="hidden" r:id="rId2"/>
    <sheet name="relatório 2017" sheetId="1" state="hidden" r:id="rId3"/>
    <sheet name="MENU" sheetId="5" r:id="rId4"/>
    <sheet name="100.070" sheetId="4" r:id="rId5"/>
    <sheet name="100.500" sheetId="7" r:id="rId6"/>
    <sheet name="220.300" sheetId="8" r:id="rId7"/>
    <sheet name="Plan1" sheetId="10" state="hidden" r:id="rId8"/>
    <sheet name="280.010" sheetId="9" r:id="rId9"/>
  </sheets>
  <definedNames>
    <definedName name="_xlnm._FilterDatabase" localSheetId="2" hidden="1">'relatório 2017'!$A$1:$R$470</definedName>
  </definedNames>
  <calcPr calcId="152511"/>
  <pivotCaches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7" i="1" l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I3" i="1"/>
  <c r="M3" i="1" s="1"/>
  <c r="I4" i="1"/>
  <c r="M4" i="1" s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72" i="1"/>
  <c r="M72" i="1" s="1"/>
  <c r="I73" i="1"/>
  <c r="M73" i="1" s="1"/>
  <c r="I74" i="1"/>
  <c r="M74" i="1" s="1"/>
  <c r="I75" i="1"/>
  <c r="M75" i="1" s="1"/>
  <c r="I76" i="1"/>
  <c r="M76" i="1" s="1"/>
  <c r="I77" i="1"/>
  <c r="M77" i="1" s="1"/>
  <c r="I78" i="1"/>
  <c r="M78" i="1" s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M88" i="1" s="1"/>
  <c r="I89" i="1"/>
  <c r="M89" i="1" s="1"/>
  <c r="I90" i="1"/>
  <c r="M90" i="1" s="1"/>
  <c r="I91" i="1"/>
  <c r="M91" i="1" s="1"/>
  <c r="I92" i="1"/>
  <c r="M92" i="1" s="1"/>
  <c r="I93" i="1"/>
  <c r="M93" i="1" s="1"/>
  <c r="I94" i="1"/>
  <c r="M94" i="1" s="1"/>
  <c r="I95" i="1"/>
  <c r="M95" i="1" s="1"/>
  <c r="I96" i="1"/>
  <c r="M96" i="1" s="1"/>
  <c r="I97" i="1"/>
  <c r="M97" i="1" s="1"/>
  <c r="I98" i="1"/>
  <c r="M98" i="1" s="1"/>
  <c r="I99" i="1"/>
  <c r="M99" i="1" s="1"/>
  <c r="I100" i="1"/>
  <c r="M100" i="1" s="1"/>
  <c r="I101" i="1"/>
  <c r="M101" i="1" s="1"/>
  <c r="I102" i="1"/>
  <c r="M102" i="1" s="1"/>
  <c r="I103" i="1"/>
  <c r="M103" i="1" s="1"/>
  <c r="I104" i="1"/>
  <c r="M104" i="1" s="1"/>
  <c r="I105" i="1"/>
  <c r="M105" i="1" s="1"/>
  <c r="I106" i="1"/>
  <c r="M106" i="1" s="1"/>
  <c r="I107" i="1"/>
  <c r="M107" i="1" s="1"/>
  <c r="I108" i="1"/>
  <c r="M108" i="1" s="1"/>
  <c r="I109" i="1"/>
  <c r="M109" i="1" s="1"/>
  <c r="I110" i="1"/>
  <c r="M110" i="1" s="1"/>
  <c r="I111" i="1"/>
  <c r="M111" i="1" s="1"/>
  <c r="I112" i="1"/>
  <c r="M112" i="1" s="1"/>
  <c r="I113" i="1"/>
  <c r="M113" i="1" s="1"/>
  <c r="I114" i="1"/>
  <c r="M114" i="1" s="1"/>
  <c r="I115" i="1"/>
  <c r="M115" i="1" s="1"/>
  <c r="I116" i="1"/>
  <c r="M116" i="1" s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I124" i="1"/>
  <c r="M124" i="1" s="1"/>
  <c r="I125" i="1"/>
  <c r="M125" i="1" s="1"/>
  <c r="I126" i="1"/>
  <c r="M126" i="1" s="1"/>
  <c r="I127" i="1"/>
  <c r="M127" i="1" s="1"/>
  <c r="I128" i="1"/>
  <c r="M128" i="1" s="1"/>
  <c r="I129" i="1"/>
  <c r="M129" i="1" s="1"/>
  <c r="I130" i="1"/>
  <c r="M130" i="1" s="1"/>
  <c r="I131" i="1"/>
  <c r="M131" i="1" s="1"/>
  <c r="I132" i="1"/>
  <c r="M132" i="1" s="1"/>
  <c r="I133" i="1"/>
  <c r="M133" i="1" s="1"/>
  <c r="I134" i="1"/>
  <c r="M134" i="1" s="1"/>
  <c r="I135" i="1"/>
  <c r="M135" i="1" s="1"/>
  <c r="I136" i="1"/>
  <c r="M136" i="1" s="1"/>
  <c r="I137" i="1"/>
  <c r="M137" i="1" s="1"/>
  <c r="I138" i="1"/>
  <c r="M138" i="1" s="1"/>
  <c r="I139" i="1"/>
  <c r="M139" i="1" s="1"/>
  <c r="I140" i="1"/>
  <c r="M140" i="1" s="1"/>
  <c r="I141" i="1"/>
  <c r="M141" i="1" s="1"/>
  <c r="I142" i="1"/>
  <c r="M142" i="1" s="1"/>
  <c r="I143" i="1"/>
  <c r="M143" i="1" s="1"/>
  <c r="I144" i="1"/>
  <c r="M144" i="1" s="1"/>
  <c r="I145" i="1"/>
  <c r="M145" i="1" s="1"/>
  <c r="I146" i="1"/>
  <c r="M146" i="1" s="1"/>
  <c r="I147" i="1"/>
  <c r="M147" i="1" s="1"/>
  <c r="I148" i="1"/>
  <c r="M148" i="1" s="1"/>
  <c r="I149" i="1"/>
  <c r="M149" i="1" s="1"/>
  <c r="I150" i="1"/>
  <c r="M150" i="1" s="1"/>
  <c r="I151" i="1"/>
  <c r="M151" i="1" s="1"/>
  <c r="I152" i="1"/>
  <c r="M152" i="1" s="1"/>
  <c r="I153" i="1"/>
  <c r="M153" i="1" s="1"/>
  <c r="I154" i="1"/>
  <c r="M154" i="1" s="1"/>
  <c r="I155" i="1"/>
  <c r="M155" i="1" s="1"/>
  <c r="I156" i="1"/>
  <c r="M156" i="1" s="1"/>
  <c r="I157" i="1"/>
  <c r="M157" i="1" s="1"/>
  <c r="I158" i="1"/>
  <c r="M158" i="1" s="1"/>
  <c r="I159" i="1"/>
  <c r="M159" i="1" s="1"/>
  <c r="I160" i="1"/>
  <c r="M160" i="1" s="1"/>
  <c r="I161" i="1"/>
  <c r="M161" i="1" s="1"/>
  <c r="I162" i="1"/>
  <c r="M162" i="1" s="1"/>
  <c r="I163" i="1"/>
  <c r="M163" i="1" s="1"/>
  <c r="I164" i="1"/>
  <c r="M164" i="1" s="1"/>
  <c r="I165" i="1"/>
  <c r="M165" i="1" s="1"/>
  <c r="I166" i="1"/>
  <c r="M166" i="1" s="1"/>
  <c r="I167" i="1"/>
  <c r="M167" i="1" s="1"/>
  <c r="I168" i="1"/>
  <c r="M168" i="1" s="1"/>
  <c r="I169" i="1"/>
  <c r="M169" i="1" s="1"/>
  <c r="I170" i="1"/>
  <c r="M170" i="1" s="1"/>
  <c r="I171" i="1"/>
  <c r="M171" i="1" s="1"/>
  <c r="I172" i="1"/>
  <c r="M172" i="1" s="1"/>
  <c r="I173" i="1"/>
  <c r="M173" i="1" s="1"/>
  <c r="I174" i="1"/>
  <c r="M174" i="1" s="1"/>
  <c r="I175" i="1"/>
  <c r="M175" i="1" s="1"/>
  <c r="I176" i="1"/>
  <c r="M176" i="1" s="1"/>
  <c r="I177" i="1"/>
  <c r="M177" i="1" s="1"/>
  <c r="I178" i="1"/>
  <c r="M178" i="1" s="1"/>
  <c r="I179" i="1"/>
  <c r="M179" i="1" s="1"/>
  <c r="I180" i="1"/>
  <c r="M180" i="1" s="1"/>
  <c r="I181" i="1"/>
  <c r="M181" i="1" s="1"/>
  <c r="I182" i="1"/>
  <c r="M182" i="1" s="1"/>
  <c r="I183" i="1"/>
  <c r="M183" i="1" s="1"/>
  <c r="I184" i="1"/>
  <c r="M184" i="1" s="1"/>
  <c r="I185" i="1"/>
  <c r="M185" i="1" s="1"/>
  <c r="I186" i="1"/>
  <c r="M186" i="1" s="1"/>
  <c r="I187" i="1"/>
  <c r="M187" i="1" s="1"/>
  <c r="I188" i="1"/>
  <c r="M188" i="1" s="1"/>
  <c r="I189" i="1"/>
  <c r="M189" i="1" s="1"/>
  <c r="I190" i="1"/>
  <c r="M190" i="1" s="1"/>
  <c r="I191" i="1"/>
  <c r="M191" i="1" s="1"/>
  <c r="I192" i="1"/>
  <c r="M192" i="1" s="1"/>
  <c r="I193" i="1"/>
  <c r="M193" i="1" s="1"/>
  <c r="I194" i="1"/>
  <c r="M194" i="1" s="1"/>
  <c r="I195" i="1"/>
  <c r="M195" i="1" s="1"/>
  <c r="I196" i="1"/>
  <c r="M196" i="1" s="1"/>
  <c r="I197" i="1"/>
  <c r="M197" i="1" s="1"/>
  <c r="I198" i="1"/>
  <c r="M198" i="1" s="1"/>
  <c r="I199" i="1"/>
  <c r="M199" i="1" s="1"/>
  <c r="I200" i="1"/>
  <c r="M200" i="1" s="1"/>
  <c r="I201" i="1"/>
  <c r="M201" i="1" s="1"/>
  <c r="I202" i="1"/>
  <c r="M202" i="1" s="1"/>
  <c r="I203" i="1"/>
  <c r="M203" i="1" s="1"/>
  <c r="I204" i="1"/>
  <c r="M204" i="1" s="1"/>
  <c r="I205" i="1"/>
  <c r="M205" i="1" s="1"/>
  <c r="I206" i="1"/>
  <c r="M206" i="1" s="1"/>
  <c r="I207" i="1"/>
  <c r="M207" i="1" s="1"/>
  <c r="I208" i="1"/>
  <c r="M208" i="1" s="1"/>
  <c r="I209" i="1"/>
  <c r="M209" i="1" s="1"/>
  <c r="I210" i="1"/>
  <c r="M210" i="1" s="1"/>
  <c r="I211" i="1"/>
  <c r="M211" i="1" s="1"/>
  <c r="I212" i="1"/>
  <c r="M212" i="1" s="1"/>
  <c r="I213" i="1"/>
  <c r="M213" i="1" s="1"/>
  <c r="I214" i="1"/>
  <c r="M214" i="1" s="1"/>
  <c r="I215" i="1"/>
  <c r="M215" i="1" s="1"/>
  <c r="I216" i="1"/>
  <c r="M216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I2" i="1"/>
  <c r="M2" i="1" s="1"/>
  <c r="G2" i="1"/>
  <c r="F136" i="3"/>
  <c r="G136" i="3" s="1"/>
  <c r="H132" i="3"/>
  <c r="F132" i="3"/>
  <c r="G132" i="3" s="1"/>
  <c r="F128" i="3"/>
  <c r="G128" i="3" s="1"/>
  <c r="G127" i="3"/>
  <c r="F127" i="3"/>
  <c r="G125" i="3"/>
  <c r="F125" i="3"/>
  <c r="H122" i="3"/>
  <c r="F122" i="3"/>
  <c r="G122" i="3" s="1"/>
  <c r="H121" i="3"/>
  <c r="F121" i="3"/>
  <c r="G121" i="3" s="1"/>
  <c r="F119" i="3"/>
  <c r="G119" i="3" s="1"/>
  <c r="H117" i="3"/>
  <c r="F117" i="3"/>
  <c r="G117" i="3" s="1"/>
  <c r="H114" i="3"/>
  <c r="F114" i="3"/>
  <c r="G114" i="3" s="1"/>
  <c r="H113" i="3"/>
  <c r="F113" i="3"/>
  <c r="G113" i="3" s="1"/>
  <c r="F111" i="3"/>
  <c r="G111" i="3" s="1"/>
  <c r="H107" i="3"/>
  <c r="G107" i="3"/>
  <c r="F107" i="3"/>
  <c r="H106" i="3"/>
  <c r="G106" i="3"/>
  <c r="F106" i="3"/>
  <c r="H105" i="3"/>
  <c r="G105" i="3"/>
  <c r="F105" i="3"/>
  <c r="F104" i="3"/>
  <c r="G104" i="3" s="1"/>
  <c r="H103" i="3"/>
  <c r="F103" i="3"/>
  <c r="G103" i="3" s="1"/>
  <c r="H101" i="3"/>
  <c r="G101" i="3"/>
  <c r="F101" i="3"/>
  <c r="F100" i="3"/>
  <c r="G100" i="3" s="1"/>
  <c r="F98" i="3"/>
  <c r="G98" i="3" s="1"/>
  <c r="F97" i="3"/>
  <c r="G97" i="3" s="1"/>
  <c r="F96" i="3"/>
  <c r="G96" i="3" s="1"/>
  <c r="F94" i="3"/>
  <c r="G94" i="3" s="1"/>
  <c r="F90" i="3"/>
  <c r="G90" i="3" s="1"/>
  <c r="H89" i="3"/>
  <c r="F89" i="3"/>
  <c r="G89" i="3" s="1"/>
  <c r="H88" i="3"/>
  <c r="F88" i="3"/>
  <c r="G88" i="3" s="1"/>
  <c r="H87" i="3"/>
  <c r="F87" i="3"/>
  <c r="G87" i="3" s="1"/>
  <c r="F86" i="3"/>
  <c r="G86" i="3" s="1"/>
  <c r="F85" i="3"/>
  <c r="G85" i="3" s="1"/>
  <c r="H84" i="3"/>
  <c r="F84" i="3"/>
  <c r="G84" i="3" s="1"/>
  <c r="F81" i="3"/>
  <c r="G81" i="3" s="1"/>
  <c r="F80" i="3"/>
  <c r="G80" i="3" s="1"/>
  <c r="G79" i="3"/>
  <c r="F79" i="3"/>
  <c r="F78" i="3"/>
  <c r="G78" i="3" s="1"/>
  <c r="F77" i="3"/>
  <c r="G77" i="3" s="1"/>
  <c r="H76" i="3"/>
  <c r="F76" i="3"/>
  <c r="G76" i="3" s="1"/>
  <c r="H75" i="3"/>
  <c r="F75" i="3"/>
  <c r="G75" i="3" s="1"/>
  <c r="K73" i="3"/>
  <c r="H73" i="3"/>
  <c r="G73" i="3"/>
  <c r="F72" i="3"/>
  <c r="G72" i="3" s="1"/>
  <c r="F71" i="3"/>
  <c r="G71" i="3" s="1"/>
  <c r="F69" i="3"/>
  <c r="G69" i="3" s="1"/>
  <c r="G68" i="3"/>
  <c r="F68" i="3"/>
  <c r="G66" i="3"/>
  <c r="F66" i="3"/>
  <c r="H65" i="3"/>
  <c r="G65" i="3"/>
  <c r="F65" i="3"/>
  <c r="H64" i="3"/>
  <c r="G64" i="3"/>
  <c r="H63" i="3"/>
  <c r="F63" i="3"/>
  <c r="G63" i="3" s="1"/>
  <c r="F62" i="3"/>
  <c r="G62" i="3" s="1"/>
  <c r="F61" i="3"/>
  <c r="G61" i="3" s="1"/>
  <c r="H60" i="3"/>
  <c r="F60" i="3"/>
  <c r="G60" i="3" s="1"/>
  <c r="G59" i="3"/>
  <c r="F59" i="3"/>
  <c r="G57" i="3"/>
  <c r="F57" i="3"/>
  <c r="H54" i="3"/>
  <c r="G54" i="3"/>
  <c r="F52" i="3"/>
  <c r="G52" i="3" s="1"/>
  <c r="H50" i="3"/>
  <c r="F50" i="3"/>
  <c r="G50" i="3" s="1"/>
  <c r="F49" i="3"/>
  <c r="G49" i="3" s="1"/>
  <c r="G48" i="3"/>
  <c r="F48" i="3"/>
  <c r="G46" i="3"/>
  <c r="F46" i="3"/>
  <c r="H43" i="3"/>
  <c r="F43" i="3"/>
  <c r="G43" i="3" s="1"/>
  <c r="F40" i="3"/>
  <c r="G40" i="3" s="1"/>
  <c r="H37" i="3"/>
  <c r="F37" i="3"/>
  <c r="G37" i="3" s="1"/>
  <c r="H36" i="3"/>
  <c r="F36" i="3"/>
  <c r="G36" i="3" s="1"/>
  <c r="H35" i="3"/>
  <c r="F35" i="3"/>
  <c r="G35" i="3" s="1"/>
  <c r="H34" i="3"/>
  <c r="F34" i="3"/>
  <c r="G34" i="3" s="1"/>
  <c r="H31" i="3"/>
  <c r="F31" i="3"/>
  <c r="G31" i="3" s="1"/>
  <c r="H30" i="3"/>
  <c r="F30" i="3"/>
  <c r="G30" i="3" s="1"/>
  <c r="G27" i="3"/>
  <c r="F27" i="3"/>
  <c r="H26" i="3"/>
  <c r="G26" i="3"/>
  <c r="F26" i="3"/>
  <c r="H23" i="3"/>
  <c r="F23" i="3"/>
  <c r="G23" i="3" s="1"/>
  <c r="H22" i="3"/>
  <c r="G22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G21" i="3"/>
  <c r="F21" i="3"/>
  <c r="F20" i="3"/>
  <c r="G20" i="3" s="1"/>
  <c r="H18" i="3"/>
  <c r="G18" i="3"/>
  <c r="F16" i="3"/>
  <c r="G16" i="3" s="1"/>
  <c r="H15" i="3"/>
  <c r="G15" i="3"/>
  <c r="A15" i="3"/>
  <c r="A16" i="3" s="1"/>
  <c r="A17" i="3" s="1"/>
  <c r="A18" i="3" s="1"/>
  <c r="A19" i="3" s="1"/>
  <c r="A20" i="3" s="1"/>
  <c r="A21" i="3" s="1"/>
  <c r="F14" i="3"/>
  <c r="G14" i="3" s="1"/>
  <c r="A14" i="3"/>
  <c r="G13" i="3"/>
  <c r="F13" i="3"/>
  <c r="A13" i="3"/>
  <c r="F5" i="3"/>
  <c r="H4" i="3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2" i="1"/>
</calcChain>
</file>

<file path=xl/sharedStrings.xml><?xml version="1.0" encoding="utf-8"?>
<sst xmlns="http://schemas.openxmlformats.org/spreadsheetml/2006/main" count="2313" uniqueCount="633">
  <si>
    <t>CENTRO DE CUSTO</t>
  </si>
  <si>
    <t>DESCRIÇÃO DO CENTRO DE CUSTO</t>
  </si>
  <si>
    <t>ITEM</t>
  </si>
  <si>
    <t>DESCRIÇÃO DO ITEM</t>
  </si>
  <si>
    <t>QUANT. DO RELATÓRIO</t>
  </si>
  <si>
    <t>VALOR UNITÁRIO</t>
  </si>
  <si>
    <t>DATA DO EMPENHO</t>
  </si>
  <si>
    <t>Nº DA NOTA DE EMPENHO</t>
  </si>
  <si>
    <t>QUANT. EMPENHADA</t>
  </si>
  <si>
    <t>VALOR EMPENHADO</t>
  </si>
  <si>
    <t>DATA ENTREGA NO ALMOXARIFADO</t>
  </si>
  <si>
    <t>Nº DA NOTA FISCAL/ RECIBO</t>
  </si>
  <si>
    <t>ELEMENTO DA DESPESA</t>
  </si>
  <si>
    <t>SUBELEMENTO DA DESPESA</t>
  </si>
  <si>
    <t>OBSERVAÇÃO</t>
  </si>
  <si>
    <t>SEÇÃO DE ARQUIVO E PROTOCOLO GERAL</t>
  </si>
  <si>
    <t>PROCESSO</t>
  </si>
  <si>
    <t>PREGÃO</t>
  </si>
  <si>
    <t>VIGÊNCIA</t>
  </si>
  <si>
    <t>23083.001631/2017-25</t>
  </si>
  <si>
    <t>37/2017</t>
  </si>
  <si>
    <t>Centro de custos</t>
  </si>
  <si>
    <t>Setor requisitante</t>
  </si>
  <si>
    <t>ORÇAMENTO</t>
  </si>
  <si>
    <t>ORÇAMENTO CONTINGENCIADO</t>
  </si>
  <si>
    <t>RESERVA TÉCNICA</t>
  </si>
  <si>
    <t>RESERVA TÉCNICA DE PESSOAL</t>
  </si>
  <si>
    <t>RESERVA TÉCNICA PARA CONTRIBUIÇÃO AO INSS</t>
  </si>
  <si>
    <t>RESERVA TÉCNICA PARA GASTOS FIXOS</t>
  </si>
  <si>
    <t>CAPACITAÇÃO DE SERVIDORES - RECURSOS ESPECÍFICOS</t>
  </si>
  <si>
    <t>RESERVA TÉCNICA DE CONVÊNIOS</t>
  </si>
  <si>
    <t>RESERVA DE CRÉDITO</t>
  </si>
  <si>
    <t>RECEITA REALIZADA</t>
  </si>
  <si>
    <t>RESERVA DE CRÉDITO REITORIA (COBERTURA PENDENTE)</t>
  </si>
  <si>
    <t>RESERVA DE CRÉDITO PARA CONTRIBUIÇÃO AO INSS</t>
  </si>
  <si>
    <t>EXECUÇÃO ORÇAMENTÁRIA - CONTA DE COMPENSAÇÃO</t>
  </si>
  <si>
    <t>REITORIA</t>
  </si>
  <si>
    <t>RECEITA REALIZADA SEM DESTINAÇÃO ESPECÍFICA</t>
  </si>
  <si>
    <t>REITORIA - REPASSES</t>
  </si>
  <si>
    <t>BOLSA PERMANÊNCIA</t>
  </si>
  <si>
    <t>BOLSA PERMANÊNCIA PARA ESTUDANTES EM MOBILIDADE ACADÊMICA</t>
  </si>
  <si>
    <t>BOLSA DE ATIVIDADE DO RESTAURANTE UNIVERSITÁRIO</t>
  </si>
  <si>
    <t>BOLSA DO PROGRAMA INSTITUCIONAL DE INICIAÇÃO CIENTÍFICA PROIC/PROPPG</t>
  </si>
  <si>
    <t>BOLSA APOIO TÉCNICO ACADÊMICO</t>
  </si>
  <si>
    <t>BOLSA INSTITUCIONAL DE EXTENSÃO - BIEXT</t>
  </si>
  <si>
    <t>BOLSA PERMANÊNCIA PARA INCENTIVO AO ESPORTE</t>
  </si>
  <si>
    <t>BOLSA PROVERDE JARDIM BOTÂNICO</t>
  </si>
  <si>
    <t>BOLSA DO PROGRAMA DE PÓS-GRADUAÇÃO EM PRÁTICAS EM DESENVOLVIMENTO SUSTENTÁVEL</t>
  </si>
  <si>
    <t>AUXÍLIO FINANCEIRO AO ESTUDANTE</t>
  </si>
  <si>
    <t>DIVISÃO DE GUARDA E VIGILÂNCIA</t>
  </si>
  <si>
    <t>POSTO MÉDICO</t>
  </si>
  <si>
    <t>BIBLIOTECA CENTRAL</t>
  </si>
  <si>
    <t>PREFEITURA UNIVERSITÁRIA</t>
  </si>
  <si>
    <t>COORDENADORIA DE DESENVOLVIMENTO DA PRODUÇÃO</t>
  </si>
  <si>
    <t>FAZENDINHA</t>
  </si>
  <si>
    <t>COORDENADORIA DE RELAÇÕES INTERNACIONAIS E INTERINSTITUCIONAIS</t>
  </si>
  <si>
    <t>PRÓ-REITORIA DE ASSUNTOS ADMINISTRATIVOS</t>
  </si>
  <si>
    <t>DIVISÃO DE PATRIMÔNIO E SERVIÇOS AUXILIARES</t>
  </si>
  <si>
    <t>DEPARTAMENTO DE PESSOAL</t>
  </si>
  <si>
    <t>PRÓ-REITORIA DE ASSUNTOS FINANCEIROS</t>
  </si>
  <si>
    <t>TAXA DE OCUPAÇÃO DE PRÓPRIOS RESIDENCIAIS</t>
  </si>
  <si>
    <t>TAXA DE OCUPAÇÃO DE PONTOS COMERCIAIS</t>
  </si>
  <si>
    <t>DEPARTAMENTO DE CONTABILIDADE E FINANÇAS</t>
  </si>
  <si>
    <t>DEPARTAMENTO DE MATERIAL E SERVIÇOS AUXILIARES</t>
  </si>
  <si>
    <t>ESTOQUE</t>
  </si>
  <si>
    <t>HOTEL UNIVERSITÁRIO</t>
  </si>
  <si>
    <t>LAVANDERIA</t>
  </si>
  <si>
    <t>PRÓ-REITORIA DE ASSUNTOS ESTUDANTIS</t>
  </si>
  <si>
    <t>RESTAURANTE UNIVERSITÁRIO - CAMPUS SEROPÉDICA</t>
  </si>
  <si>
    <t>DIRETÓRIO CENTRAL DOS ESTUDANTES</t>
  </si>
  <si>
    <t>DIVISÃO DE RESIDÊNCIA ESTUDANTIL</t>
  </si>
  <si>
    <t>PRÓ-REITORIA DE ENSINO E GRADUAÇÃO</t>
  </si>
  <si>
    <t>MONITORIA</t>
  </si>
  <si>
    <t>PROGRAMA MILTON SANTOS - PROMISAES</t>
  </si>
  <si>
    <t>PROJETO MÍDIAS NA EDUCAÇÃO</t>
  </si>
  <si>
    <t>PARFOR</t>
  </si>
  <si>
    <t>ADMINISTRAÇÃO INTEGRAL</t>
  </si>
  <si>
    <t>ADMINISTRAÇÃO NOTURNO</t>
  </si>
  <si>
    <t>ADMINISTRAÇÃO PÚBLICA</t>
  </si>
  <si>
    <t>AGRONOMIA</t>
  </si>
  <si>
    <t>ARQUITETURA E URBANISMO</t>
  </si>
  <si>
    <t>BELAS ARTES</t>
  </si>
  <si>
    <t>CIÊNCIAS AGRÍCOLAS (LICA)</t>
  </si>
  <si>
    <t>CIÊNCIAS BIOLÓGICAS</t>
  </si>
  <si>
    <t>CIÊNCIAS CONTÁBEIS</t>
  </si>
  <si>
    <t>CIÊNCIAS ECONÔMICAS</t>
  </si>
  <si>
    <t>CIÊNCIAS SOCIAIS</t>
  </si>
  <si>
    <t>COMUNICAÇÃO SOCIAL</t>
  </si>
  <si>
    <t>DIREITO</t>
  </si>
  <si>
    <t>ECONOMIA DOMÉSTICA</t>
  </si>
  <si>
    <t>EDUCAÇÃO FÍSICA</t>
  </si>
  <si>
    <t>ENGENHARIA AGRÍCOLA E AMBIENTAL</t>
  </si>
  <si>
    <t>ENGENHARIA DE AGRIMENSURA E CARTOGRÁFICA</t>
  </si>
  <si>
    <t>ENGENHARIA DE ALIMENTOS</t>
  </si>
  <si>
    <t>ENGENHARIA DE MATERIAIS</t>
  </si>
  <si>
    <t>ENGENHARIA FLORESTAL</t>
  </si>
  <si>
    <t>ENGENHARIA QUÍMICA</t>
  </si>
  <si>
    <t>FARMÁCIA</t>
  </si>
  <si>
    <t>FILOSOFIA</t>
  </si>
  <si>
    <t>FÍSICA</t>
  </si>
  <si>
    <t>GEOGRAFIA</t>
  </si>
  <si>
    <t>GEOLOGIA</t>
  </si>
  <si>
    <t>HISTÓRIA NOTURNO</t>
  </si>
  <si>
    <t>HISTÓRIA VESPERTINO</t>
  </si>
  <si>
    <t>HOTELARIA</t>
  </si>
  <si>
    <t>LETRAS</t>
  </si>
  <si>
    <t>MATEMÁTICA</t>
  </si>
  <si>
    <t>MEDICINA VETERINÁRIA</t>
  </si>
  <si>
    <t>PEDAGOGIA</t>
  </si>
  <si>
    <t>PSICOLOGIA</t>
  </si>
  <si>
    <t>QUÍMICA INTEGRAL</t>
  </si>
  <si>
    <t>QUÍMICA NOTURNO</t>
  </si>
  <si>
    <t>RELAÇÕES INTERNACIONAIS</t>
  </si>
  <si>
    <t>SISTEMAS DE INFORMAÇÃO</t>
  </si>
  <si>
    <t>ZOOTECNIA</t>
  </si>
  <si>
    <t>ADMINISTRAÇÃO EAD SEROPÉDICA</t>
  </si>
  <si>
    <t>ADMINISTRAÇÃO - NOVA IGUAÇU</t>
  </si>
  <si>
    <t>CIÊNCIAS ECONÔMICAS - NOVA IGUAÇU</t>
  </si>
  <si>
    <t>CIÊNCIA DA COMPUTAÇÃO - NOVA IGUAÇU</t>
  </si>
  <si>
    <t>DIREITO - NOVA IGUAÇU</t>
  </si>
  <si>
    <t>GEOGRAFIA - NOVA IGUAÇU</t>
  </si>
  <si>
    <t>HISTÓRIA - NOVA IGUAÇU</t>
  </si>
  <si>
    <t>LETRAS - NOVA IGUAÇU</t>
  </si>
  <si>
    <t>MATEMÁTICA - NOVA IGUAÇU</t>
  </si>
  <si>
    <t>PEDAGOGIA - NOVA IGUAÇU</t>
  </si>
  <si>
    <t>TURISMO - NOVA IGUAÇU</t>
  </si>
  <si>
    <t>TURISMO EAD NOVA IGUAÇU</t>
  </si>
  <si>
    <t>ADMINISTRAÇÃO - TRÊS RIOS</t>
  </si>
  <si>
    <t>CIÊNCIAS ECONÔMICAS - TRÊS RIOS</t>
  </si>
  <si>
    <t>DIREITO - TRÊS RIOS</t>
  </si>
  <si>
    <t>GESTÃO AMBIENTAL - TRÊS RIOS</t>
  </si>
  <si>
    <t>PROJETO DE EXTENSÃO EM ARTE</t>
  </si>
  <si>
    <t>PROJETO DE EXTENSÃO EM SAÚDE E MEIO AMBIENTE</t>
  </si>
  <si>
    <t>PROJETO DE CURSO DE EXTENSÃO EM HISTÓRIA</t>
  </si>
  <si>
    <t>PROJETO GEOGRAFIA ESCOLAR: LINGUAGENS, CULTURA, SABERES E PRÁTICAS DOCENTES</t>
  </si>
  <si>
    <t>PROINFO - PROJETO INTRODUÇÃO À EDUCAÇÃO DIGITAL</t>
  </si>
  <si>
    <t>COMITÊ GESTOR AÇÃO 20RJ</t>
  </si>
  <si>
    <t>CONSELHO ESCOLAR</t>
  </si>
  <si>
    <t>ESPECIALIZAÇÃO UNIAPRO</t>
  </si>
  <si>
    <t>CONSELHOS MUNICIPAIS DE EDUCAÇÃO</t>
  </si>
  <si>
    <t>DOCÊNCIA NA EDUCAÇÃO INFANTIL</t>
  </si>
  <si>
    <t>MEMÓRIAS E HISTÓRIAS DA OCUPAÇÃO DA BAIXADA FLUMINENSE</t>
  </si>
  <si>
    <t>EDUCAÇÃO DO CAMPO</t>
  </si>
  <si>
    <t>EXTENSÃO EM ARTE</t>
  </si>
  <si>
    <t>CURSO DE EXTENSÃO EM ALFABETIZAÇÃO</t>
  </si>
  <si>
    <t>FUNCIONAMENTO DO COMITÊ GESTOR</t>
  </si>
  <si>
    <t>SEMINÁRIO DE FILOSOFIA E EDUCAÇÃO</t>
  </si>
  <si>
    <t>ENFRENTANDO OS DESAFIOS DOS TEMAS TRANSVERSAIS</t>
  </si>
  <si>
    <t>PRÓ-REITORIA DE EXTENSÃO</t>
  </si>
  <si>
    <t>PROEXT - CAPACITAR PARA GERAR - AMPLIAÇÃO DOS HORIZONTES</t>
  </si>
  <si>
    <t>PROEXT - OBSERVATÓRIO CULTURAL DA BAIXADA FLUMINENSE</t>
  </si>
  <si>
    <t>PROEXT - NÚCLEO DE DIÁLOGOS INTERCULTURAIS</t>
  </si>
  <si>
    <t>PROEXT - ECONOMIA SOLIDÁRIA E GÊNERO - PROMOVENDO</t>
  </si>
  <si>
    <t>ELABORAÇÃO DE LIVRO-TEXTO PARA OS CURSOS DE EXTENSÃO</t>
  </si>
  <si>
    <t>PROEXT - LABORATÓRIO DA IMAGEM ÁUDIO VISUAL - POSSIBILIDADES DIDÁTICAS</t>
  </si>
  <si>
    <t>PROEXT - OBSERVATÓRIO DE POLÍTICAS DEMOCRÁTICAS DE ACESSO E PERMANÊNCIA NA EDUCAÇÃO SUPERIOR</t>
  </si>
  <si>
    <t>PROEXT - MÃOS QUE CRIAM - PROJETO DE CAPACITAÇÃO PARA PROMOÇÃO SOCIAL</t>
  </si>
  <si>
    <t>PROEXT - ESTRATÉGIA DESENVOLVIMENTO CADEIA PRODUTIVA COM ABELHAS</t>
  </si>
  <si>
    <t>PRAÇA DE DESPORTOS</t>
  </si>
  <si>
    <t>IMPRENSA UNIVERSITÁRIA</t>
  </si>
  <si>
    <t>CENTRO DE ARTE E CULTURA</t>
  </si>
  <si>
    <t>PROEXT - PROGRAMA APOIO E ACOMPANHAMENTO USO DE LAPTOPS ESCOLA POR ALUNO</t>
  </si>
  <si>
    <t>PROEXT - PRODUÇÃO FORMATATOS E EMBUTIDOS DE PESCADO MARINHO ITAGUAÍ RJ</t>
  </si>
  <si>
    <t>PROEXT - APOIO À PRÁTICAS TRADICIONAIS NO USO DE PLANTAS MEDICINAIS</t>
  </si>
  <si>
    <t>PRÓ-REITORIA DE PESQUISA E PÓS GRADUAÇÃO</t>
  </si>
  <si>
    <t>PRÓ - EQUIPAMENTOS</t>
  </si>
  <si>
    <t>EDITORA UNIVERSIDADE RURAL</t>
  </si>
  <si>
    <t>JARDIM BOTÂNICO</t>
  </si>
  <si>
    <t>PROAP - PRÓ-REITORIA DE PESQUISA E PÓS GRADUAÇÃO</t>
  </si>
  <si>
    <t>PROAP - BIOLOGIA ANIMAL</t>
  </si>
  <si>
    <t>PROAP - CIÊNCIAS AMBIENTAIS E FLORESTAIS</t>
  </si>
  <si>
    <t>PROAP - CIÊNCIA DO SOLO</t>
  </si>
  <si>
    <t>PROAP - DESENVOLVIMENTO, AGRICULTURA E SOCIEDADE</t>
  </si>
  <si>
    <t>PROAP - ENGENHARIA QUÍMICA</t>
  </si>
  <si>
    <t>PROAP - FITOTECNIA</t>
  </si>
  <si>
    <t>PROAP - MEDICINA VETERINÁRIA</t>
  </si>
  <si>
    <t>PROAP - CIÊNCIA E TECNOLOGIA E INOVAÇÃO AGROPECUÁRIA</t>
  </si>
  <si>
    <t>PROAP - EDUCAÇÃO AGRÍCOLA</t>
  </si>
  <si>
    <t>PROAP - QUÍMICA</t>
  </si>
  <si>
    <t>PROAP - TECNOLOGIA DE ALIMENTOS</t>
  </si>
  <si>
    <t>PROAP - ZOOTECNIA</t>
  </si>
  <si>
    <t>PROAP - FITOSSANIDADE E TECNOLOGIA APLICADA</t>
  </si>
  <si>
    <t>PROAP - CIÊNCIAS VETERINÁRIAS</t>
  </si>
  <si>
    <t>PROAP - HISTÓRIA</t>
  </si>
  <si>
    <t>PROAP - EDUCAÇÃO E DEMANDAS POPULARES</t>
  </si>
  <si>
    <t>PROAP - MULTICÊNTRICO EM CIÊNCIAS FISIOLÓGICAS</t>
  </si>
  <si>
    <t>PROAP - DESENVOLVIMENTO TERRITORIAL E POLÍTICAS PÚBLICAS</t>
  </si>
  <si>
    <t>PROAP - PSICOLOGIA</t>
  </si>
  <si>
    <t>PROAP - CIÊNCIAS SOCIAIS</t>
  </si>
  <si>
    <t>PROAP - MODELAGEM MATEMÁTICA E COMPUTACIONAL</t>
  </si>
  <si>
    <t>PROAP - CIÊNCIAS FISIOLÓGICAS</t>
  </si>
  <si>
    <t>PROAP - ADMINISTRAÇÃO</t>
  </si>
  <si>
    <t>PROAP - FILOSOFIA</t>
  </si>
  <si>
    <t>PROAP - GEOGRAFIA</t>
  </si>
  <si>
    <t>RECURSOS PRÓPRIOS - BIOLOGIA ANIMAL</t>
  </si>
  <si>
    <t>RECURSOS PRÓPRIOS - CIÊNCIAIS AMBIENTAIS E FLORESTAIS</t>
  </si>
  <si>
    <t>RECURSOS PRÓPRIOS - CIÊNCIA DO SOLO</t>
  </si>
  <si>
    <t>RECURSOS PRÓPRIOS - DESENVOLVIMENTO, AGRICULTURA E SOCIEDADE</t>
  </si>
  <si>
    <t>RECURSOS PRÓPRIOS - ENGENHARIA QUÍMICA</t>
  </si>
  <si>
    <t>RECURSOS PRÓPRIOS - FITOTECNIA</t>
  </si>
  <si>
    <t>RECURSOS PRÓPRIOS - MEDICINA VETERINÁRIA</t>
  </si>
  <si>
    <t>RECURSOS PRÓPRIOS - CIÊNCIA E TECNOLOGIA EM INOVAÇÃO AGROPECUÁRIA</t>
  </si>
  <si>
    <t>RECURSOS PRÓPRIOS - EDUCAÇÃO AGRÍCOLA</t>
  </si>
  <si>
    <t>RECURSOS PRÓPRIOS - QUÍMICA ORGÂNICA</t>
  </si>
  <si>
    <t>RECURSOS PRÓPRIOS - TECNOLOGIA DE ALIMENTOS</t>
  </si>
  <si>
    <t>RECURSOS PRÓPRIOS - ZOOTECNIA</t>
  </si>
  <si>
    <t>FITOSSANIDADE E TECNOLOGIA APLICADA</t>
  </si>
  <si>
    <t>RECURSOS PRÓPRIOS - CIÊNCIAS VETERINÁRIAS</t>
  </si>
  <si>
    <t>RECURSOS PRÓPRIOS - HISTÓRIA</t>
  </si>
  <si>
    <t>RECURSOS PRÓPRIOS - EDUCAÇÃO E DEMANDAS POPULARES</t>
  </si>
  <si>
    <t>RECURSOS PRÓPRIOS - MULTICÊNTRICO EM CIÊNCIAS FISIOLÓGICAS</t>
  </si>
  <si>
    <t>RECURSO PRÓPRIO - DESENVOLVIMENTO TERRIT. E POLÍTICAS PÚBLICAS</t>
  </si>
  <si>
    <t>RECURSOS PRÓPIOS - PSICOLOGIA</t>
  </si>
  <si>
    <t>RECURSOS PRÓPRIOS - CIÊNCIAS SOCIAIS</t>
  </si>
  <si>
    <t>RECURSOS PRÓPRIOS - MODELAGEM MATEMÁTICA E COMPUTACIONAL</t>
  </si>
  <si>
    <t>RECURSOS PRÓPRIOS - CIÊNCIAS FISIOLÓGICAS</t>
  </si>
  <si>
    <t>RECURSOS PRÓPRIOS - MA</t>
  </si>
  <si>
    <t>RECURSOS PRÓPRIOS - FILOSOFIA</t>
  </si>
  <si>
    <t>RECURSOS PRÓPRIOS - GEOGRAFIA</t>
  </si>
  <si>
    <t>CAIC</t>
  </si>
  <si>
    <t>CTUR</t>
  </si>
  <si>
    <t>CTUR - ÁREA DO NÚCLEO COMUM</t>
  </si>
  <si>
    <t>CTUR - ÁREA DE HOTELARIA</t>
  </si>
  <si>
    <t>CTUR - AGROPECUÁRIA ORGÂNICA</t>
  </si>
  <si>
    <t>CAMPUS DR. LEONEL MIRANDA</t>
  </si>
  <si>
    <t>PRÓ-REITORIA DE PLANEJAMENTO, AVALIAÇÃO E DESENVOLVIMENTO INSTITUCIONAL</t>
  </si>
  <si>
    <t>COORDENADORIA DE DESENVOLVIMENTO INSTITUCIONAL</t>
  </si>
  <si>
    <t>COORDENADORIA DE TECNOLOGIA DA INFORMAÇÃO E COMUNICAÇÃO</t>
  </si>
  <si>
    <t>COORDENADORIA DE PROJETOS DE ENGENHARIA E ARQUITETURA</t>
  </si>
  <si>
    <t>INSTITUTO DE AGRONOMIA</t>
  </si>
  <si>
    <t>PROGRAMA DE RESIDÊNCIA EM ENGENHARIA AGRONÔMICA</t>
  </si>
  <si>
    <t>CONTRATO MA/UFRRJ - FITOSSANIDADE VEGETAL</t>
  </si>
  <si>
    <t>PROGRAMA PÓS-GRADUAÇÃO EM EDUCAÇÃO AGRÍCOLA</t>
  </si>
  <si>
    <t>PPGEA - TC INSTITUTO FEDERAL FLUMINENSE</t>
  </si>
  <si>
    <t>PPGEA - TC UNIVERSIDADE FEDERAL RURAL DE PERNAMBUCO</t>
  </si>
  <si>
    <t>PPGEA - TC INSTITUTO FEDERAL DO ESPÍRITO SANTO</t>
  </si>
  <si>
    <t>PPGEA - TC INSTITUTO FEDERAL DE EDUCAÇÃO, CIÊNCIA E TECNOLOGIA DO AMAPÁ</t>
  </si>
  <si>
    <t>PPGEA - TC INSTITUTO FEDERAL DE EDUCAÇÃO, CIÊNCIA E TECNOLOGIA DO AMAZONAS</t>
  </si>
  <si>
    <t>DEPARTAMENTO DE FITOTECNIA</t>
  </si>
  <si>
    <t>CURSO DE PÓS GRADUAÇÃO EM TECNOLOGIA DE SEMENTES</t>
  </si>
  <si>
    <t>DEPARTAMENTO DE GEOCIÊNCIAS</t>
  </si>
  <si>
    <t>DEPARTAMENTO DE SOLOS</t>
  </si>
  <si>
    <t>INSTITUTO DE BIOLOGIA</t>
  </si>
  <si>
    <t>DEPARTAMENTO DE BIOLOGIA ANIMAL</t>
  </si>
  <si>
    <t>LABORATÓRIO DE IMUNOTOXICOLOGIA E BIOLOGIA PARASITÁRIA</t>
  </si>
  <si>
    <t>DEPARTAMENTO DE BOTÂNICA</t>
  </si>
  <si>
    <t>DEPARTAMENTO DE CIÊNCIAS FISIOLÓGICAS</t>
  </si>
  <si>
    <t>BIOTÉRIO DO DEPARTAMENTO DE CIÊNCIAS FISIOLÓGICAS</t>
  </si>
  <si>
    <t>DEPARTAMENTO DE ENTOMOLOGIA E FITOPATOLOGIA</t>
  </si>
  <si>
    <t>LABORATÓRIO OFICIAL DE DIAGNÓSTICO FITOSSANITÁRIO</t>
  </si>
  <si>
    <t>DEPARTAMENTO DE GENÉTICA</t>
  </si>
  <si>
    <t>PROGRAMA DE PÓS-GRADUAÇÃO EM CIÊNCIAS FISIOLÓGICAS</t>
  </si>
  <si>
    <t>INSTITUTO DE CIÊNCIAS EXATAS</t>
  </si>
  <si>
    <t>DEPARTAMENTO DE FÍSICA</t>
  </si>
  <si>
    <t>PROGRAMA DE TREINAMENTO ESPECIAL PARA ALUNOS - PET</t>
  </si>
  <si>
    <t>DEPARTAMENTO DE MATEMÁTICA</t>
  </si>
  <si>
    <t>PÓS GRADUACAO EM MATEMÁTICA LATO SENSO</t>
  </si>
  <si>
    <t>PROJETO DE CRIAÇÃO DO CURSO DE ESPECIALIZAÇÃO EM ESTATÍSTICA APLICADA</t>
  </si>
  <si>
    <t>DEPARTAMENTO DE QUÍMICA</t>
  </si>
  <si>
    <t>INSTITUTO DE CIÊNCIAS HUMANAS E SOCIAIS</t>
  </si>
  <si>
    <t>DEPARTAMENTO DE LETRAS E CIÊNCIAS SOCIAIS</t>
  </si>
  <si>
    <t>CURSO DE PÓS GRADUAÇÃO EM CIÊNCIAS SOCIAIS</t>
  </si>
  <si>
    <t>MESTRADO EM FILOSOFIA</t>
  </si>
  <si>
    <t>INSTITUTO DE EDUCAÇÃO</t>
  </si>
  <si>
    <t>CONVÊNIO - ME - IMPLANTAÇÃO NÚCLEO ESPORTE EDUCACIONAL</t>
  </si>
  <si>
    <t>LICENCIATURA EM EDUCAÇÃO DO CAMPO - PROCAMPO</t>
  </si>
  <si>
    <t>DEPARTAMENTO DE EDUCAÇÃO FÍSICA E DESPORTOS</t>
  </si>
  <si>
    <t>PÓS-GRADUAÇÃO EM PEDAGOGIA DA EDUCAÇÃO FÍSICA E DO ESPORTE</t>
  </si>
  <si>
    <t>PROGRAMA DE PÓS-GRADUAÇÃO EM LUTAS</t>
  </si>
  <si>
    <t>DEPARTAMENTO DE PSICOLOGIA</t>
  </si>
  <si>
    <t>LABORATÓRIO DE PSICOLOGIA E INFORMAÇÕES AFRO-DESCENDENTES</t>
  </si>
  <si>
    <t>DEPARTAMENTO DE TEORIA E PLANEJAMENTO DE ENSINO</t>
  </si>
  <si>
    <t>ESPECIALIZAÇÃO EM COORDENAÇÃO PEDAGÓGICA</t>
  </si>
  <si>
    <t>ESPECIALIZAÇÃO EM PSICOPEDAGOGIA</t>
  </si>
  <si>
    <t>INSTITUTO DE FLORESTAS</t>
  </si>
  <si>
    <t>FLORESTA - PROJETOS</t>
  </si>
  <si>
    <t>REVISTA FLORESTA AMBIENTE</t>
  </si>
  <si>
    <t>PROGRAMA DE PÓS GRADUAÇÃO EM PRÁTICAS EM DESENVOLVIMENTO SUSTENTÁVEL</t>
  </si>
  <si>
    <t>DEPARTAMENTO DE CIÊNCIAS AMBIENTAIS</t>
  </si>
  <si>
    <t>DEPARTAMENTO DE PRODUTOS FLORESTAIS</t>
  </si>
  <si>
    <t>DEPARTAMENTO SILVICULTURA</t>
  </si>
  <si>
    <t>CONV.041/01 - REDE MATA ATLÂNTICA (FNMA-UFRRJ)</t>
  </si>
  <si>
    <t>INSTITUTO DE TECNOLOGIA</t>
  </si>
  <si>
    <t>DEPARTAMENTO DE ARQUITETURA E URBANISMO</t>
  </si>
  <si>
    <t>DEPARTAMENTO DE ENGENHARIA</t>
  </si>
  <si>
    <t>DEPARTAMENTO DE ENGENHARIA QUÍMICA</t>
  </si>
  <si>
    <t>DEPARTAMENTO DE TECNOLOGIA DE ALIMENTOS</t>
  </si>
  <si>
    <t>INSTITUTO DE VETERINÁRIA</t>
  </si>
  <si>
    <t>HOSPITAL VETERINÁRIO</t>
  </si>
  <si>
    <t>DEPARTAMENTO DE EPIDEMIOLOGIA E SAÚDE PÚBLICA</t>
  </si>
  <si>
    <t>DEPARTAMENTO DE MEDICINA E CIRURGIA VETERINÁRIA</t>
  </si>
  <si>
    <t>DEPTO DE MICROBIOLOGIA E IMUNOLOGIA VETERINÁRIA</t>
  </si>
  <si>
    <t>DEPARTAMENTO DE PARASITOLOGIA ANIMAL</t>
  </si>
  <si>
    <t>PROJETO DE CONTROLE POPULACIONAL E BEM ESTAR ANIMAL DA UFRRJ</t>
  </si>
  <si>
    <t>INSTITUTO DE ZOOTECNIA</t>
  </si>
  <si>
    <t>DEPARTAMENTO DE NUTRIÇÃO ANIMAL E PASTAGENS</t>
  </si>
  <si>
    <t>DEPARTAMENTO DE PRODUÇÃO ANIMAL</t>
  </si>
  <si>
    <t>DEPARTAMENTO DE REPRODUÇÃO E AVALIAÇÃO ANIMAL</t>
  </si>
  <si>
    <t>CAMPUS DA UFRRJ EM NOVA IGUAÇU</t>
  </si>
  <si>
    <t>RESTAURANTE UNIVERSITÁRIO - NOVA IGUAÇU</t>
  </si>
  <si>
    <t>BIBLIOTECA - NOVA IGUAÇU</t>
  </si>
  <si>
    <t>SUPERINTENDÊNCIA DE INFORMÁTICA - NOVA IGUAÇU</t>
  </si>
  <si>
    <t>DEPARTAMENTO DE ADMINISTRAÇÃO E TURISMO</t>
  </si>
  <si>
    <t>DEPARTAMENTO DE EDUCAÇÃO E SOCIEDADE</t>
  </si>
  <si>
    <t>LABORATÓRIO DE ESTUDOS AFRO BRASILEIROS E INDÍGENAS</t>
  </si>
  <si>
    <t>GRUPO DE PESQUISA EDUCAÇÃO SUPERIOR E RELAÇÕES ÉTNICO-RACIAIS</t>
  </si>
  <si>
    <t>CURRÍCULO, PLANEJAMENTO E ORGANIZAÇÃO DO TRABALHO PEDAGÓGICO NA EDUCAÇÃO INFANTIL</t>
  </si>
  <si>
    <t>DEPARTAMENTO DE HISTÓRIA E ECONOMIA</t>
  </si>
  <si>
    <t>DEPARTAMENTO DE TECNOLOGIAS E LINGUAGEM</t>
  </si>
  <si>
    <t>DEPARTAMENTO DE CIÊNCIAS JURÍDICAS</t>
  </si>
  <si>
    <t>DEPARTAMENTO DE LETRAS</t>
  </si>
  <si>
    <t>DEPARTAMENTO DA CIÊNCIA DA COMPUTAÇÃO</t>
  </si>
  <si>
    <t>DIREÇÃO DO CAMPUS NOVA IGUAÇU</t>
  </si>
  <si>
    <t>RESTAURANTE UNIVERSITÁRIO DO CAMPUS NOVA IGUAÇU</t>
  </si>
  <si>
    <t>DIREÇÃO DO INSTITUTO MULTIDISCIPLINAR</t>
  </si>
  <si>
    <t>BIBLIOTECA - NI</t>
  </si>
  <si>
    <t>DEPARTAMENTO DE CIÊNCIAS DA COMPUTAÇÃO</t>
  </si>
  <si>
    <t>DEPARTAMENTO DE TECNOLOGIA E LINGUAGENS</t>
  </si>
  <si>
    <t>CURRÍCULO, PLANEJAMENTO E ORGANIZAÇÃO DO TRABALHO PEDAGÓGICO NA ED. INFANTIL</t>
  </si>
  <si>
    <t>DIRETÓRIO CENTRAL DOS ESTUDANTES/NI</t>
  </si>
  <si>
    <t>CAMPUS DA UFRRJ EM TRÊS RIOS</t>
  </si>
  <si>
    <t>DEPARTAMENTO DE CIÊNCIAS ADMINISTRATIVAS E DO AMBIENTE</t>
  </si>
  <si>
    <t>DIRETÓRIO CENTRAL DOS ESTUDANTES/ITR</t>
  </si>
  <si>
    <t>DESCENTRALIZAÇÕES DIVERSAS</t>
  </si>
  <si>
    <t>INCLUIR</t>
  </si>
  <si>
    <t>EJA - APRENDIZADO VIRTUAL MULTIMÍDA EM REDE SOCIAL</t>
  </si>
  <si>
    <t>PROEJA</t>
  </si>
  <si>
    <t>PROGRAMA INGLÊS SEM FRONTEIRAS</t>
  </si>
  <si>
    <t>DESCENTRALIZAÇÕES SECR. EDUC. PROF. E TECNOLÓGICA - COLÉGIO TÉCNICO</t>
  </si>
  <si>
    <t>INCRA - EJA - EDUCAR PARA EMANCIPAR</t>
  </si>
  <si>
    <t>LICENCIATURA EM EDUCAÇÃO NO CAMPO - CONVÊNIO INCRA</t>
  </si>
  <si>
    <t>CONVÊNIOS FUNDO NACIONAL DESENVOLVIMENTO CIENTÍFICO E TECNOLÓGICO</t>
  </si>
  <si>
    <t>DESCENTRALIZAÇÕES FUNDO NACIONAL DESENVOLVIMENTO DA EDUCAÇÃO</t>
  </si>
  <si>
    <t>ESCOLA ATIVA</t>
  </si>
  <si>
    <t>PDE</t>
  </si>
  <si>
    <t>MÍDIAS NA EDUCAÇÃO</t>
  </si>
  <si>
    <t>PRONATEC - COLÉGIO TÉCNICO</t>
  </si>
  <si>
    <t>PROGRAMA DE FORTALECIMENTO DOS CONSELHOS ESCOLARES</t>
  </si>
  <si>
    <t>CAPES</t>
  </si>
  <si>
    <t>UNIVERSIDADE ABERTA</t>
  </si>
  <si>
    <t>DESCENTRALIZAÇÕES PPGEA</t>
  </si>
  <si>
    <t>FORMAÇÃO E CAPACITAÇÃO EM EDUCAÇÃO BÁSICA</t>
  </si>
  <si>
    <t>PRÁTICAS PEDAGÓGICAS EM EDUCAÇÃO DO CAMPO</t>
  </si>
  <si>
    <t>INSTITUTO DE CIÊNCIAS SOCIAIS APLICADAS</t>
  </si>
  <si>
    <t>DEPARTAMENTO DE CIÊNCIAS ADMINISTRATIVAS E CONTÁBEIS</t>
  </si>
  <si>
    <t>MESTRADO EM GESTÃO ESTRATÉGICA DE NEGÓCIOS</t>
  </si>
  <si>
    <t>DEPARTAMENTO DE CIÊNCIAS ECONÔMICAS</t>
  </si>
  <si>
    <t>ESPECIALIZAÇÃO EM GESTÃO ESTRATÉGICA NO AGRONEGÓCIO</t>
  </si>
  <si>
    <t>DEPARTAMENTO DE ECONOMIA DOMÉSTICA E HOTELARIA</t>
  </si>
  <si>
    <t>UNIDADE DE PRODUÇÃO DE ARTIGOS TÊXTEIS - UPAT</t>
  </si>
  <si>
    <t>EMENDAS PARLAMENTARES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</si>
  <si>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</si>
  <si>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</si>
  <si>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</si>
  <si>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</si>
  <si>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Validade:</t>
  </si>
  <si>
    <t>DIAS P/ VECTO.:</t>
  </si>
  <si>
    <t>Data de hoje:</t>
  </si>
  <si>
    <t>Assunto:</t>
  </si>
  <si>
    <t>Aquisição de Medicamento de uso humano</t>
  </si>
  <si>
    <t>(GRUPO 30.09)</t>
  </si>
  <si>
    <t>Nº Item</t>
  </si>
  <si>
    <t>Firma</t>
  </si>
  <si>
    <t>Breve Descrição</t>
  </si>
  <si>
    <t>Unidade de Fornecimento</t>
  </si>
  <si>
    <t>Quantidade Licitada</t>
  </si>
  <si>
    <t>Quantidade Empenhada</t>
  </si>
  <si>
    <t>Saldo Atual</t>
  </si>
  <si>
    <t>Posto Médico</t>
  </si>
  <si>
    <t>Cepiepe</t>
  </si>
  <si>
    <t>Dequim</t>
  </si>
  <si>
    <t>Hospital Veterinário</t>
  </si>
  <si>
    <t>DCF - IB</t>
  </si>
  <si>
    <t>Posterior Conferência</t>
  </si>
  <si>
    <t>Valor</t>
  </si>
  <si>
    <t>CND</t>
  </si>
  <si>
    <t>ACETATO DE RETINOL 10.000 UI, AMINOÁCIDOS 25MG, METIONINA 5MG, CLORANFENICOL 5MG, EXCIPIENTE Q.S.P. 1G. BISNAGA COM BICO OFTÁLMICO CONTENDO 3,5 G DE POMADA</t>
  </si>
  <si>
    <t>Bisnaga 3,5G</t>
  </si>
  <si>
    <t>ÁCIDO ACETILSALICÍLICO, DOSAGEM 100.</t>
  </si>
  <si>
    <t>Caixa 30 comprimidos</t>
  </si>
  <si>
    <t>ÁCIDO ACETILSALICÍLICO, DOSAGEM 500.</t>
  </si>
  <si>
    <t>Caixa 10 comprimidos</t>
  </si>
  <si>
    <t>ÁCIDO ASCÓRBICO, DOSAGEM 500 MG</t>
  </si>
  <si>
    <t>AMPOLA 5,00 ML</t>
  </si>
  <si>
    <t>ÁCIDO MEFENÂMICO, DOSAGEM 500.</t>
  </si>
  <si>
    <t>Caixa 24 comprimidos</t>
  </si>
  <si>
    <t>ÁCIDO TRANEXÂMICO, DOSAGEM 50 MG/ML, FORMA FARMACÊUTICA SOLUÇÃO INJETÁVEL</t>
  </si>
  <si>
    <t>ÁGUA DESTILADA, ASPECTO FÍSICO BIDESTILADA, ESTÉRIL, APIROGÊNICA</t>
  </si>
  <si>
    <t>FRASCO 10,00 ML</t>
  </si>
  <si>
    <t>BOLSA 250,00 ML</t>
  </si>
  <si>
    <t>AMINOFILINA, DOSAGEM 24 MG/ML, FORMA FARMACÊUTICA SOLUÇÃO INJETÁVEL</t>
  </si>
  <si>
    <t>AMPOLA 10,00 ML</t>
  </si>
  <si>
    <t>AMIODARONA, DOSAGEM 50MG/ML, INDICAÇÃO INJETÁVEL</t>
  </si>
  <si>
    <t>AMPOLA 3,00 ML</t>
  </si>
  <si>
    <t>AMOXICILINA, CONCENTRAÇÃO 500MG</t>
  </si>
  <si>
    <t>Caixa 21 comprimidos</t>
  </si>
  <si>
    <t>AMOXICILINA, PRINCÍPIO ATIVO ASSOCIADA COM CLAVULANATO DE POTÁSSIO, CONCENTRAÇÃO 875MG + 125MG.</t>
  </si>
  <si>
    <t>Caixa 20 comprimidos</t>
  </si>
  <si>
    <t>AMPICILINA, COMPOSIÇÃO QUÍMICA C16H18N3O4NAS (SÓDICA), ASPECTO FÍSICO PÓ CRITALINO BRANCO/ESBRANQUIÇADO, HIGROSCÓPIO, PESO MOLECULAR 371,39, TEOR DE PUREZA MÍNIMO DE 91%, CARACTERÍSTICA ADICIONAL REAGENTE TESTADO EM CULTURA DE CÉLULAS, NÚMERO DE REFERÊNCIA QUÍMICA CAS 9-52-3</t>
  </si>
  <si>
    <t>Frasco-Ampola 2G</t>
  </si>
  <si>
    <t>ATROPINA SULFATO, DOSAGEM 0,25 MG/ML, USO SOLUÇÃO INJETÁVEL</t>
  </si>
  <si>
    <t>AMPOLA 2,00 ML</t>
  </si>
  <si>
    <t>AZITROMICINA, DOSAGEM 500 MG</t>
  </si>
  <si>
    <t>COMPRIMIDO</t>
  </si>
  <si>
    <t>BETAMETASONA, COMPOSIÇÃO DIPROPIONATO, APRESENTAÇÃO ASSOCIADA COM BETAMETASONAFOSFATO, DOSAGEM 5MG + 2MG, USO INJETÁVEL</t>
  </si>
  <si>
    <t>AMPOLA 1,00 ML</t>
  </si>
  <si>
    <t>BENZILPENICILINA, APRESENTAÇÃO BENZATINA, DOSAGEM 1.200.000UI, USO INJETÁVEL</t>
  </si>
  <si>
    <t>FRASCO 4,00 ML</t>
  </si>
  <si>
    <t>BENZOCAÍNA, COMPOSIÇÃO ASSOCIADA COM TRICLOSANA E MENTOL, CONCENTRAÇAO 45 MG +5 MG + 5 MG/ML, FORMA FARMACEUTICA AEROSSOL</t>
  </si>
  <si>
    <t>TUBO 43,00 G</t>
  </si>
  <si>
    <t>BROMOPRIDA, DOSAGEM 10 MG</t>
  </si>
  <si>
    <t>BROMOPRIDA, DOSAGEM 4 MG/ML, APRESENTAÇÃO GOTAS</t>
  </si>
  <si>
    <t>FRASCO 20,00 ML</t>
  </si>
  <si>
    <t>BUPIVACAÍNA CLORIDRATO, PUREZA 0,5%, APRESENTAÇÃO SOLUÇÃO INJETÁVEL</t>
  </si>
  <si>
    <t>O CARVÃO VEGETAL UTILIZADO PARA TRATAMENTO DE INTOXICAÇÕES, ENVENENAMENTOS, PROBLEMAS GASTROINTESTINAIS COMO DIARREIA, DORES DE ESTÔMAGO E GASES. TAMBÉM AUXILIA EM AFTAS, MAU HÁLITO. EM PÓ</t>
  </si>
  <si>
    <t>Embalagem 250g</t>
  </si>
  <si>
    <t>CIPROFLOXACINO CLORIDRATO, DOSAGEM 500.</t>
  </si>
  <si>
    <t>Caixa 14 comprimidos</t>
  </si>
  <si>
    <t>CEFALEXINA, DOSAGEM 500</t>
  </si>
  <si>
    <t>Caixa 40 comprimidos</t>
  </si>
  <si>
    <t>CLORETO DE SÓDIO, PRINCÍPIO ATIVO 0,9%_ SOLUÇÃO INJETÁVEL, APLICAÇÃO SISTEMA FECHADO</t>
  </si>
  <si>
    <t>CLORETO DE SÓDIO, DOSAGEM 20%, USO SOLUÇÃO INJETÁVEL</t>
  </si>
  <si>
    <t>CLORETO DE SÓDIO, PRINCÍPIO ATIVO 0,9%_ SOLUÇÃO INJETÁVEL, APLICAÇÃO FRASCO COM ABERTURA TWIST OFF</t>
  </si>
  <si>
    <t>BOLSA 500,00 ML</t>
  </si>
  <si>
    <t>BOLSA 1.000,00 ML</t>
  </si>
  <si>
    <t>CLORETO DE POTÁSSIO, DOSAGEM 10%, APRESENTAÇÃO SOLUÇÃO INJETÁVEL</t>
  </si>
  <si>
    <t>CLOPIDROGEL, DOSAGEM 75</t>
  </si>
  <si>
    <t>CLOREXIDINA DIGLUCONATO, DOSAGEM 2%, APLICAÇÃO DEGERMANTE</t>
  </si>
  <si>
    <t>FRASCO 1.000,00 ML</t>
  </si>
  <si>
    <t>CLOREXIDINA DIGLICONATO, ASPECTO FÍSICO LÍQUIDO, CONCENTRAÇÃO EM SOLUÇÃO AQUOSA À 20</t>
  </si>
  <si>
    <t>COLAGENASE, CONCENTRAÇÃO 0,6UI/G, USO POMADA</t>
  </si>
  <si>
    <t>BISNAGA 30,00 G</t>
  </si>
  <si>
    <t>CONTRASTE RADIOLÓGICO, TIPO NÃO IÔNICO, COMPOSIÇÃO À BASE DE IOHEXOL, CONCENTRAÇÃO 300MG DE IODO/ML, FORMA FARMACÊUTICA SOLUÇÃO INJETÁVEL</t>
  </si>
  <si>
    <t>FRASCO 50,00 ML</t>
  </si>
  <si>
    <t>DESLANÓSIDO, DOSAGEM 0,2 MG/ML, APRESENTAÇÃO SOLUÇÃO INJETÁVEL</t>
  </si>
  <si>
    <t>DEXAMETASONA, DOSAGEM 4 MG</t>
  </si>
  <si>
    <t>AMPOLA 2,50 ML</t>
  </si>
  <si>
    <t>DEXAMETASONA, DOSAGEM 0,1%, APRESENTAÇÃO CREME</t>
  </si>
  <si>
    <t>BISNAGA 10,00 G</t>
  </si>
  <si>
    <t>DIAZEPAM, CONCENTRAÇÃO 10 MG/ML, FORMA FARMACEUTICA SOLUÇÃO INJETÁVEL</t>
  </si>
  <si>
    <t>DIAZEPAM, DOSAGEM 5 MG/ML, APRESENTAÇÃO SOLUÇÃO INJETÁVEL</t>
  </si>
  <si>
    <t>DIAZEPAM, DOSAGEM 5.</t>
  </si>
  <si>
    <t>DICLOFENACO, APRESENTAÇÃO SAL POTÁSSICO, DOSAGEM 25MG/ML, USO SOLUÇÃO INJETÁVEL</t>
  </si>
  <si>
    <t>DICLOFENACO, APRESENTAÇÃO SAL SÓDICO, DOSAGEM 1MG/ML, USO SOLUÇÃO OFTÁLMICA</t>
  </si>
  <si>
    <t>FRASCO 5,00 ML</t>
  </si>
  <si>
    <t>DICLOFENACO, APRESENTAÇÃO SAL SÓDICO, DOSAGEM 25MG/ML, USO SOLUÇÃO INJETÁVEL</t>
  </si>
  <si>
    <t>DICLOFENACO, COMPOSIÇÃO SAL RESINATO, CONCENTRAÇÃO 15 MG/ML, FORMA FARMACÊUTICA SUSPENSÃO ORAL- GOTAS</t>
  </si>
  <si>
    <t>DIPIRONA SÓDICA, DOSAGEM 500 MG/ML, APRESENTAÇÃO SOLUÇÃO INJETÁVEL</t>
  </si>
  <si>
    <t>DIPIRONA SÓDICA, DOSAGEM 500 MG/ML, APRESENTAÇÃO SOLUÇÃO ORAL (GOTAS)</t>
  </si>
  <si>
    <t>DOPAMINA, DOSAGEM 5 MG/ML, APRESENTAÇÃO SOLUÇÃO INJETÁVEL</t>
  </si>
  <si>
    <t>EFEDRINA, APRESENTAÇÃO SULFATO, DOSAGEM 50 MG/ML, APLICAÇÃO SOLUÇÃO INJETÁVEL</t>
  </si>
  <si>
    <t>EPINEFRINA, DOSAGEM 1MG/ML, USO SOLUÇÃO INJETÁVEL</t>
  </si>
  <si>
    <t>ESCOPOLAMINA BUTILBROMETO, APRESENTAÇÃO ASSOCIADA COM DIPIRONA SÓDICA, DOSAGEM4MG + 500MG/ML, INDICAÇÃO SOLUÇÃO INJETÁVEL</t>
  </si>
  <si>
    <t>ESCOPOLAMINA BUTILBROMETO, DOSAGEM 20 MG/ML, INDICAÇÃO SOLUÇÃO INJETÁVEL</t>
  </si>
  <si>
    <t>ETOMIDATO, DOSAGEM 2 MG/ML, APRESENTAÇÃO SOLUÇÃO INJETÁVEL</t>
  </si>
  <si>
    <t>FENOBARBITAL SÓDICO, DOSAGEM 100 MG</t>
  </si>
  <si>
    <t>FENOTEROL BROMIDRATO, CONCENTRAÇÃO 5 MG/ML, FORMA FARMACEUTICA SOLUÇÃO ORAL</t>
  </si>
  <si>
    <t>FENTANILA, APRESENTAÇÃO SAL CITRATO, DOSAGEM 0,05 MG/ML, INDICAÇÃO SOLUÇÃO INJETÁVEL</t>
  </si>
  <si>
    <t>FIBRINOLISINA, COMPOSIÇÃO ASSOCIADA COM DESOXIRRIBONUCLEASE E CLORANFENICOL, DOSAGEM 1U + 666U + 1%, APRESENTAÇÃO POMADA</t>
  </si>
  <si>
    <t>FITOMENADIONA, DOSAGEM 10 MG/ML, APRESENTAÇÃO SOLUÇÃO INJETÁVEL</t>
  </si>
  <si>
    <t>AMPOLA 0,20 ML</t>
  </si>
  <si>
    <t>FLUORESCEÍNA, CONCENTRAÇÃO 1%, APLICAÇÃO SOLUÇÃO OFTÁLMICA</t>
  </si>
  <si>
    <t>FRASCO 3,00 ML</t>
  </si>
  <si>
    <t>FUROSEMIDA, COMPOSIÇÃO 10 MG/ML, APRESENTAÇÃO SOLUÇÃO INJETÁVEL</t>
  </si>
  <si>
    <t>GEL LUBRIFICANTE, TIPO ÍNTIMO, COR INCOLOR, ODOR INODORO, SOLUBILIDADE SOLÚVELEM ÁGUA, CARACTERÍSTICAS ADICIONAIS TRANSPARENTE E NÃO GORDUROSO</t>
  </si>
  <si>
    <t>BISNAGA 50,00 G</t>
  </si>
  <si>
    <t>GLICOSE, CONCENTRAÇÃO 25%, INDICAÇÃO SOLUÇÃO INJETÁVEL</t>
  </si>
  <si>
    <t>GLICOSE, CONCENTRAÇÃO 5%, INDICAÇÃO SOLUÇÃO INJETÁVEL, CARACTERÍSTICAS ADICIONAIS SISTEMA FECHADO</t>
  </si>
  <si>
    <t>FRASCO 500,00 ML</t>
  </si>
  <si>
    <t>GLICONATO DE CÁLCIO, DOSAGEM 10%, APRESENTAÇÃO SOLUÇÃO INJETÁVEL</t>
  </si>
  <si>
    <t>HALOPERIDOL, DOSAGEM 5 MG</t>
  </si>
  <si>
    <t>HALOPERIDOL, APRESENTAÇÃO SAL DECANOATO, CONCENTRAÇÃO 50 MG/ML, TIPO USO SOLUÇÃO INJETÁVEL</t>
  </si>
  <si>
    <t>HEPARINA SÓDICA, DOSAGEM 5.000 UI/0,25 ML, INDICAÇÃO INJETÁVEL</t>
  </si>
  <si>
    <t>AMPOLA 0,25 ML</t>
  </si>
  <si>
    <t>HIDROCORTISONA, COMPOSIÇÃO SAL ACETATO, CONCENTRAÇÃO 100 MG, FORMA FARMACÊUTICA PÓ LIÓFILO P/ INJETÁVEL</t>
  </si>
  <si>
    <t>FRASCO 100,00 ML</t>
  </si>
  <si>
    <t>HIDROCORTISONA, COMPOSIÇÃO SAL SUCCINATO SÓDICO, CONCENTRAÇÃO 500, FORMA FARMACÊUTICA PÓ LIÓFILO P/ INJETÁVEL.</t>
  </si>
  <si>
    <t>Frasco 500MG</t>
  </si>
  <si>
    <t>IODO, CONCENTRAÇÃO 2%, FORMA FARMACÊUTICA EM SOLUÇÃO DE ÁLCOOL ETÍLICO A 70%</t>
  </si>
  <si>
    <t>FRASCO 300,00 ML</t>
  </si>
  <si>
    <t>IPRATRÓPIO BROMETO, DOSAGEM 0,25 MG/ML, USO SOLUÇÃO PARA INALAÇÃO</t>
  </si>
  <si>
    <t>ISOFLURANO, APRESENTAÇÃO ANESTÉSICO INALATÓRIO.</t>
  </si>
  <si>
    <t>Frasco 100ML</t>
  </si>
  <si>
    <t> ISOSSORBIDA, PRINCÍPIO ATIVO SAL DINITRATO, DOSAGEM 5 MG, TIPO MEDICAMENTO SUBLINGUAL</t>
  </si>
  <si>
    <t>LEVOFLOXACINO, DOSAGEM 500.</t>
  </si>
  <si>
    <t>LIDOCAÍNA CLORIDRATO, DOSAGEM 2%, APRESENTAÇÃO GELÉIA</t>
  </si>
  <si>
    <t>LIDOCAÍNA CLORIDRATO, DOSAGEM 2%, APRESENTAÇÃO INJETÁVEL</t>
  </si>
  <si>
    <t>MANITOL, DOSAGEM 20%, FORMA FARMACÊUTICA SOLUÇÃO INJETÁVEL, CARACTERÍSTICAS ADICIONAIS SISTEMA FECHADO</t>
  </si>
  <si>
    <t>METADONA, DOSAGEM 10 MG/ML, USO SOLUÇÃO INJETÁVEL</t>
  </si>
  <si>
    <t>METILPREDNISOLONA, PRINCÍPIO ATIVO SAL SUCCINATO, DOSAGEM 125 MG, APRESENTAÇÃOPÓ LIOFILIZADO + DILUENTE, INJETÁVEL</t>
  </si>
  <si>
    <t>FRASCO-AMPOLA</t>
  </si>
  <si>
    <t>METOCLOPRAMIDA CLORIDRATO, DOSAGEM 5 MG/ML, APRESENTAÇÃO SOLUÇÃO INJETÁVEL</t>
  </si>
  <si>
    <t>METRONIDAZOL, DOSAGEM 5MG/ML, APRESENTAÇÃO SOLUÇÃO INJETÁVEL</t>
  </si>
  <si>
    <t>BOLSA 100,00 M</t>
  </si>
  <si>
    <t>MIDAZOLAM, DOSAGEM 5 MG/ML, APLICAÇÃO INJETÁVEL</t>
  </si>
  <si>
    <t>MORFINA, APRESENTAÇÃO SULFATO, CONCENTRAÇÃO 10MG/ML, FORMA FARMACÊUTICA SOLUÇÃO INJETÁVEL</t>
  </si>
  <si>
    <t>MORFINA, APRESENTAÇÃO SULFATO, CONCENTRAÇÃO 0,2MG/ML, FORMA FARMACÊUTICA SOLUÇÃO INJETÁVEL</t>
  </si>
  <si>
    <t>NALBUFINA CLORIDRATO, DOSAGEM 10 MG/ML, INDICAÇÃO SOLUÇÃO INJETÁVEL</t>
  </si>
  <si>
    <t>NALOXONA CLORIDRATO, DOSAGEM 0,4 MG/ML, APRESENTAÇÃO SOLUÇÃO INJETÁVEL</t>
  </si>
  <si>
    <t>NIMESULIDA, DOSAGEM 100 MG</t>
  </si>
  <si>
    <t>Caixa 12 comprimidos</t>
  </si>
  <si>
    <t>NOREPINEFRINA, COMPOSIÇÃO SAL BITARTARATO, CONCENTRAÇÃO 2 MG/ML, FORMA FARMACÊUTICA SOLUÇÃO INJETÁVEL</t>
  </si>
  <si>
    <t> AMPOLA 4,00 M</t>
  </si>
  <si>
    <t>OMEPRAZOL, CONCENTRAÇÃO 20.</t>
  </si>
  <si>
    <t>Caixa 28 cápsulas</t>
  </si>
  <si>
    <t>ONDANSETRONA CLORIDRATO, DOSAGEM 2 MG/ML, INDICAÇÃO INJETÁVEL</t>
  </si>
  <si>
    <t>PARACETAMOL, DOSAGEM COMPRIMIDO 750</t>
  </si>
  <si>
    <t>PARACETAMOL, DOSAGEM SOLUÇÃO ORAL 200 MG/ML, APRESENTAÇÃO SOLUÇÃO ORAL</t>
  </si>
  <si>
    <t>FRASCO 15,00 ML</t>
  </si>
  <si>
    <t>PENICILINA BENZATINA PRÉ DILUÍDA, FRASCO 600000UI. AMPOLA 4ML.</t>
  </si>
  <si>
    <t>Frasco 4ML</t>
  </si>
  <si>
    <t>PERMANGANATO DE POTÁSSIO, ASPECTO FÍSICO PÓ CRISTALINO MARROM VIOLÁCEO, INODORO.</t>
  </si>
  <si>
    <t>Frasco 1KG</t>
  </si>
  <si>
    <t>PERÓXIDO DE HIDROGÊNIO (ÁGUA OXIGENADA), TIPO 10 VOLUMES</t>
  </si>
  <si>
    <t>PETIDINA CLORIDRATO, DOSAGEM 50 MG/ML, APRESENTAÇÃO SOLUÇÃO INJETÁVEL</t>
  </si>
  <si>
    <t>PROMETAZINA CLORIDRATO, DOSAGEM 25 MG/ML, APRESENTAÇÃO SOLUÇÃO INJETÁVEL</t>
  </si>
  <si>
    <t>PROPOFOL, DOSAGEM 10 MG/ML, FORMA FARMACÊUTICA EMULSÃO INJETÁVEL</t>
  </si>
  <si>
    <t>PROPRANOLOL CLORIDRATO, DOSAGEM 40.</t>
  </si>
  <si>
    <t>Caixa 30 Comprimidos</t>
  </si>
  <si>
    <t>RANITIDINA CLORIDRATO, DOSAGEM 25 MG/ML, TIPO SOLUÇÃO INJETÁVEL</t>
  </si>
  <si>
    <t>RIFAMICINA, DOSAGEM 10 MG/ML, INDICAÇÃO SPRAY</t>
  </si>
  <si>
    <t>RINGER, COMPOSIÇÃO ASSOCIADO COM LACTATO DE SÓDIO, FORMA FARMACÊUTICA SOLUÇÃO INJETÁVEL,CARACTERÍSTICA ADICIONAL SISTEMA FECHADO.</t>
  </si>
  <si>
    <t>Frasco 500ML</t>
  </si>
  <si>
    <t>SAIS PARA REIDRATAÇÃO ORAL, APRESENTAÇÃO PÓ, COMPOSTO POR: CLORETO SÓDIO 3,5G + GLICOSE 20 G, INDICAÇÃO + CITRATO DE SÓDIO 2,9G + CLORETO DE POTÁSSIO 1,5 G,USO PARA 1.000ML DE SOLUÇÃO PRONTA, SEGUNDO PADRÃO OM S, CARACTERÍSTICA ADICIONAL ENVELOPE CONTENDO 27,9G</t>
  </si>
  <si>
    <t>ENVELOPE</t>
  </si>
  <si>
    <t>SOLUÇÃO PARA INFUSÃO 60MG/ML (VOLUVEN). COMPOSIÇÃO: HIDROXIETILAMIDO + ÁGUA PARA INJETÁVEIS Q.S.P. EXCIPIENTES: CLORETO DE SÓDIO, ÁCIDO CLORÍDRICO, HIDRÓXIDO DE SÓDIO E ÁGUA PARA INJETÁVEIS</t>
  </si>
  <si>
    <t>Bolsa 500ML</t>
  </si>
  <si>
    <t>SULFADIAZINA, PRINCÍPIO ATIVO DE PRATA, DOSAGEM 1%, INDICAÇÃO CREME</t>
  </si>
  <si>
    <t>POTE 400,00 G</t>
  </si>
  <si>
    <t>SULFAMETOXAZOL, COMPOSIÇÃO ASSOCIADO À TRIMETROPINA, CONCENTRAÇÃO 400MG 80MG</t>
  </si>
  <si>
    <t>Caixa 20 comprimido</t>
  </si>
  <si>
    <t>SULFAMETOXAZOL, COMPOSIÇÃO ASSOCIADO À TRIMETOPRIMA, CONCENTRAÇÃO 800MG 160MG</t>
  </si>
  <si>
    <t>Caixa 10 Comprimidos</t>
  </si>
  <si>
    <t>TIOPENTAL SÓDICO, DOSAGEM 1, APRESENTAÇÃO INJETÁVEL</t>
  </si>
  <si>
    <t>Frasco 1G</t>
  </si>
  <si>
    <t>TIOPENTAL SÓDICO, DOSAGEM 500, APRESENTAÇÃO INJETÁVEL</t>
  </si>
  <si>
    <t>Frasco - Ampola</t>
  </si>
  <si>
    <t>TOBRAMICINA COLÍRIO, 3MG</t>
  </si>
  <si>
    <t>Frasco 5ML</t>
  </si>
  <si>
    <t>TRIPTOFANO, ASPECTO FÍSICO CRISTAL BRANCO, INODORO, PESO MOLECULAR 204,23, FORMULA QUÍMICA</t>
  </si>
  <si>
    <t>Frasco 500G</t>
  </si>
  <si>
    <t>TRAMADOL CLORIDRATO, DOSAGEM 50 MG/ML, FORMA FARMACÊUTICA SOLUÇÃO INJETÁVEL</t>
  </si>
  <si>
    <t>TRAMADOL CLORIDRATO, DOSAGEM 50 MG</t>
  </si>
  <si>
    <t>TROPICAMIDA, DOSAGEM 1%, APRESENTAÇÃO SOLUÇÃO OFTÁLMICA</t>
  </si>
  <si>
    <t>VITAMINAS DO COMPLEXO B, COMPOSIÇÃO BASICA VITAMNAS</t>
  </si>
  <si>
    <t>Ampola 2ML</t>
  </si>
  <si>
    <t>VITAMINAS DO COMPLEXO B, COMPOSIÇÃO BÁSICA B1,B2,B3,B5,B6</t>
  </si>
  <si>
    <t>SALBUTAMOL, DOSAGEM 100MCG/DOSE, FORMA FARMACÊUTICA AEROSOL ORAL</t>
  </si>
  <si>
    <t>Frasco</t>
  </si>
  <si>
    <t>TIRAS REAGENTES PARA DOSAGEM DE GLICOSE SANGUÍNEA COM 50 TESTES DE MARCA ACTIVE DA ROCHE</t>
  </si>
  <si>
    <t>UNIDADE</t>
  </si>
  <si>
    <t>FIO DE SUTURA, MATERIAL NYLON MONOFILAMENTO, TIPO FIO 3-0, COR PRETO, COMPRIMENTO 45 CM, CARACTERÍSTICAS ADICIONAIS COM AGULHA, TIPO AGULHA 3/8 CÍRCULO CORTANTE, COMPRIMENTO AGULHA 2,0 CM, ESTERILIDADE ESTÉRIL</t>
  </si>
  <si>
    <t>FIO DE SUTURA, MATERIAL NYLON MONOFILAMENTO, TIPO FIO 2-0, COR PRETO, COMPRIMENTO 45 CM, CARACTERÍSTICAS ADICIONAIS COM AGULHA, TIPO AGULHA 3/8 CÍRCULO CORTANTE, COMPRIMENTO AGULHA 3,0 CM, ESTERILIDADE ESTÉRIL</t>
  </si>
  <si>
    <t>LUVA PARA PROCEDIMENTO NÃO CIRÚRGICO, MATERIAL LÁTEX NATURAL ÍNTEGRO E UNIFORME, TAMANHO PEQUENO, CARACTERÍSTICAS ADICIONAIS SEM PÓ, TIPO AMBIDESTRA</t>
  </si>
  <si>
    <t>CAIXA 100,00 UN</t>
  </si>
  <si>
    <t>SALDO OK</t>
  </si>
  <si>
    <t>CANCELADO</t>
  </si>
  <si>
    <t>SEM ESTOQUE</t>
  </si>
  <si>
    <t>FIRMA C/ PROBLEMA: SICAF, ENTREGA, ETC.</t>
  </si>
  <si>
    <t>* POSTERIOR CONFERÊNCIA: SOLICITAÇÕES ENVIADAS AO DCF PARA EMPENHAR</t>
  </si>
  <si>
    <t>GESTOR: RAFAEL MARTINS SSRP/DMSA</t>
  </si>
  <si>
    <t>Nº</t>
  </si>
  <si>
    <t>FIRMAS</t>
  </si>
  <si>
    <t>CNPJ</t>
  </si>
  <si>
    <t>SITUAÇÃO</t>
  </si>
  <si>
    <t>OCTA LAB FARMACIA DE MANIPULACAO EIRELI - EPP</t>
  </si>
  <si>
    <t>04.943.149/0001-65</t>
  </si>
  <si>
    <t>OK - RECEITAS MUN. E EST. VENCIDAS. PL ZERADO</t>
  </si>
  <si>
    <t>VETERINARIA SUL CATARINENSE LTDA - EPP</t>
  </si>
  <si>
    <t>07.266.548/0001-27</t>
  </si>
  <si>
    <t>OK - PL ZERADO</t>
  </si>
  <si>
    <t xml:space="preserve"> LUCIANA SAMA CHARARA PRODUTOS HOSPITALARES - ME</t>
  </si>
  <si>
    <t>07.657.571/0001-42</t>
  </si>
  <si>
    <t>OK</t>
  </si>
  <si>
    <t>DMC DISTRIBUIDORAS, COMERCIO D MEDICAMENTOS EIRELI - EP</t>
  </si>
  <si>
    <t>16.970.999/0001-31</t>
  </si>
  <si>
    <t>OK -</t>
  </si>
  <si>
    <t xml:space="preserve"> PROSPER COMERCIO E DISTRIBUICAO EIRELI - ME</t>
  </si>
  <si>
    <t>20.489.064/0001-05</t>
  </si>
  <si>
    <t>OK - RECEITAS MUN. E EST. VENCIDAS.</t>
  </si>
  <si>
    <t>CESSP COMERCIO DE EQUIPAMENTO DE SEGURANCA E SOLUCOES T</t>
  </si>
  <si>
    <t>20.786.106/0001-70</t>
  </si>
  <si>
    <t>ok - pl zerado</t>
  </si>
  <si>
    <t xml:space="preserve"> EXEMPLARMED COMERCIO DE PRODUTOS HOSPITALARES LTDA - EP</t>
  </si>
  <si>
    <t>23.312.871/0001-46</t>
  </si>
  <si>
    <t>OK - RECEITA ESTADUAL VENCIDA</t>
  </si>
  <si>
    <t>ÚLTIMA ATUALIZAÇÃO SALDO FEITA EM: 05/07/2017</t>
  </si>
  <si>
    <t>21/08/17 - RAFAEL</t>
  </si>
  <si>
    <t>QUANTIDADE EMPENHADA:</t>
  </si>
  <si>
    <t>POSTERIOR CONFERÊNCIA:</t>
  </si>
  <si>
    <t>SICAF CONSULTADOS:</t>
  </si>
  <si>
    <t>2017NE801333</t>
  </si>
  <si>
    <t>2017NE801387</t>
  </si>
  <si>
    <t>2017NE801388</t>
  </si>
  <si>
    <t>2017NE801389</t>
  </si>
  <si>
    <t>2017NE801390</t>
  </si>
  <si>
    <t>2017NE801391</t>
  </si>
  <si>
    <t>2017NE801392</t>
  </si>
  <si>
    <t>2017NE801393</t>
  </si>
  <si>
    <t>2017NE801394</t>
  </si>
  <si>
    <t>2017NE801395</t>
  </si>
  <si>
    <t>2017NE801396</t>
  </si>
  <si>
    <t>Papeleta 636/2017</t>
  </si>
  <si>
    <t>Concluído</t>
  </si>
  <si>
    <t>NOTA DE ANULAÇÃO: 2017NE801887</t>
  </si>
  <si>
    <t>Vencido em 24/11/2017</t>
  </si>
  <si>
    <t>Papeleta 637/2017</t>
  </si>
  <si>
    <t>NOTA DE ANULAÇÃO: 2017NE801888</t>
  </si>
  <si>
    <t>Papeleta 673/2017</t>
  </si>
  <si>
    <t>NF 1936</t>
  </si>
  <si>
    <t xml:space="preserve"> VALOR </t>
  </si>
  <si>
    <t>Total Geral</t>
  </si>
  <si>
    <t>CLIQUE EM HABILITAR EDIÇÃO PARA ATIVAR O CONTEÚDO</t>
  </si>
  <si>
    <t>CLIQUE NO CENTRO DE CUSTO PARA VERIFICAR O ANDAMENTO DOS PEDIDOS REALIZADOS PELO QUIOSQUE DE COMPRAS EM 2017</t>
  </si>
  <si>
    <t>28/12/2017 e 13/03/2018</t>
  </si>
  <si>
    <t>Papeleta 141/2018</t>
  </si>
  <si>
    <t>Entrega em 09/04/2018</t>
  </si>
  <si>
    <t>Papeleta 168/2018</t>
  </si>
  <si>
    <t>Entrega em 01/03/2018</t>
  </si>
  <si>
    <t>Papeleta 140/2018</t>
  </si>
  <si>
    <t>Entrega em 09/04/2018 e 24/04/2018</t>
  </si>
  <si>
    <t>NF/ 9145 e 9382</t>
  </si>
  <si>
    <t>Papeleta 158/2018</t>
  </si>
  <si>
    <t xml:space="preserve">Concluído </t>
  </si>
  <si>
    <t>NOTA DE ANULAÇÃO 2018NE800261</t>
  </si>
  <si>
    <t>2018NE800389</t>
  </si>
  <si>
    <t>Coordenadoria do desenvolvimento da produção</t>
  </si>
  <si>
    <t>Departamento de Ciências fisiologicas</t>
  </si>
  <si>
    <t>Hospital veterinário</t>
  </si>
  <si>
    <t xml:space="preserve"> </t>
  </si>
  <si>
    <t>18/07/2018 e 07/08/2018</t>
  </si>
  <si>
    <t>Papeleta 305/2018</t>
  </si>
  <si>
    <t xml:space="preserve">Posto médico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</si>
</sst>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i/>
      <sz val="9"/>
      <color theme="1" tint="4.9989318521683403E-2"/>
      <name val="Arial"/>
      <family val="2"/>
    </font>
    <font>
      <b/>
      <sz val="9"/>
      <color rgb="FF187400"/>
      <name val="Verdana"/>
      <family val="2"/>
    </font>
    <font>
      <b/>
      <sz val="9"/>
      <color rgb="FFFF000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Border="1"/>
    <xf numFmtId="0" fontId="13" fillId="0" borderId="0" xfId="0" applyFont="1" applyBorder="1"/>
    <xf numFmtId="0" fontId="14" fillId="0" borderId="0" xfId="0" applyFont="1"/>
    <xf numFmtId="0" fontId="0" fillId="0" borderId="0" xfId="0" applyFont="1"/>
    <xf numFmtId="0" fontId="12" fillId="0" borderId="0" xfId="0" applyFont="1" applyAlignment="1">
      <alignment horizontal="left"/>
    </xf>
    <xf numFmtId="14" fontId="13" fillId="0" borderId="9" xfId="0" applyNumberFormat="1" applyFont="1" applyBorder="1" applyAlignment="1">
      <alignment horizontal="left"/>
    </xf>
    <xf numFmtId="0" fontId="12" fillId="0" borderId="0" xfId="0" applyFont="1" applyBorder="1" applyAlignment="1"/>
    <xf numFmtId="14" fontId="14" fillId="0" borderId="0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left"/>
    </xf>
    <xf numFmtId="14" fontId="11" fillId="0" borderId="0" xfId="0" applyNumberFormat="1" applyFont="1"/>
    <xf numFmtId="14" fontId="13" fillId="0" borderId="0" xfId="0" applyNumberFormat="1" applyFont="1"/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/>
    </xf>
    <xf numFmtId="44" fontId="19" fillId="5" borderId="25" xfId="2" applyFont="1" applyFill="1" applyBorder="1" applyAlignment="1">
      <alignment horizontal="center" vertical="center"/>
    </xf>
    <xf numFmtId="0" fontId="19" fillId="0" borderId="0" xfId="0" applyFont="1"/>
    <xf numFmtId="0" fontId="19" fillId="0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4" fontId="19" fillId="0" borderId="2" xfId="2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49" fontId="21" fillId="7" borderId="25" xfId="0" applyNumberFormat="1" applyFont="1" applyFill="1" applyBorder="1" applyAlignment="1">
      <alignment horizontal="center" vertical="center"/>
    </xf>
    <xf numFmtId="44" fontId="19" fillId="7" borderId="2" xfId="2" applyFont="1" applyFill="1" applyBorder="1" applyAlignment="1">
      <alignment horizontal="center" vertical="center"/>
    </xf>
    <xf numFmtId="0" fontId="19" fillId="7" borderId="0" xfId="0" applyFont="1" applyFill="1"/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4" fontId="19" fillId="0" borderId="2" xfId="2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49" fontId="19" fillId="0" borderId="0" xfId="0" applyNumberFormat="1" applyFont="1"/>
    <xf numFmtId="0" fontId="20" fillId="7" borderId="25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4" fontId="0" fillId="0" borderId="0" xfId="2" applyFont="1"/>
    <xf numFmtId="0" fontId="19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6" fillId="5" borderId="2" xfId="0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wrapText="1"/>
    </xf>
    <xf numFmtId="0" fontId="26" fillId="8" borderId="2" xfId="0" applyFont="1" applyFill="1" applyBorder="1" applyAlignment="1">
      <alignment horizontal="center" wrapText="1"/>
    </xf>
    <xf numFmtId="0" fontId="26" fillId="9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 vertical="center" wrapText="1"/>
    </xf>
    <xf numFmtId="0" fontId="22" fillId="0" borderId="0" xfId="0" applyFont="1"/>
    <xf numFmtId="0" fontId="19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1" fillId="5" borderId="2" xfId="0" applyFont="1" applyFill="1" applyBorder="1" applyAlignment="1"/>
    <xf numFmtId="0" fontId="29" fillId="5" borderId="0" xfId="0" applyFont="1" applyFill="1" applyBorder="1" applyAlignment="1"/>
    <xf numFmtId="0" fontId="15" fillId="0" borderId="0" xfId="0" applyFont="1"/>
    <xf numFmtId="0" fontId="27" fillId="0" borderId="0" xfId="0" applyFont="1"/>
    <xf numFmtId="14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0" fontId="5" fillId="3" borderId="25" xfId="1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wrapText="1"/>
    </xf>
    <xf numFmtId="0" fontId="35" fillId="10" borderId="0" xfId="0" applyFont="1" applyFill="1" applyAlignment="1">
      <alignment wrapText="1"/>
    </xf>
    <xf numFmtId="0" fontId="36" fillId="1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3" fontId="0" fillId="0" borderId="33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4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41" xfId="0" applyNumberFormat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11" borderId="32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44" fontId="0" fillId="11" borderId="44" xfId="0" applyNumberFormat="1" applyFill="1" applyBorder="1" applyAlignment="1">
      <alignment horizontal="center" vertical="center" wrapText="1"/>
    </xf>
    <xf numFmtId="0" fontId="0" fillId="0" borderId="32" xfId="0" pivotButton="1" applyBorder="1" applyAlignment="1">
      <alignment horizontal="left" vertical="center" wrapText="1"/>
    </xf>
    <xf numFmtId="0" fontId="0" fillId="0" borderId="35" xfId="0" pivotButton="1" applyBorder="1" applyAlignment="1">
      <alignment horizontal="center" vertical="center" wrapText="1"/>
    </xf>
    <xf numFmtId="0" fontId="0" fillId="0" borderId="36" xfId="0" pivotButton="1" applyBorder="1" applyAlignment="1">
      <alignment horizontal="center" vertical="center" wrapText="1"/>
    </xf>
    <xf numFmtId="0" fontId="0" fillId="0" borderId="37" xfId="0" pivotButton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5" fillId="5" borderId="2" xfId="1" applyNumberFormat="1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44" fontId="5" fillId="5" borderId="2" xfId="2" applyFont="1" applyFill="1" applyBorder="1" applyAlignment="1">
      <alignment horizontal="center" vertical="center" wrapText="1"/>
    </xf>
    <xf numFmtId="44" fontId="7" fillId="5" borderId="2" xfId="2" applyFont="1" applyFill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33" fillId="0" borderId="0" xfId="0" applyNumberFormat="1" applyFont="1"/>
    <xf numFmtId="164" fontId="7" fillId="3" borderId="45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5" fillId="3" borderId="45" xfId="1" applyNumberFormat="1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wrapText="1"/>
    </xf>
    <xf numFmtId="0" fontId="33" fillId="0" borderId="0" xfId="0" applyFont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0" fontId="26" fillId="6" borderId="27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wrapText="1"/>
    </xf>
    <xf numFmtId="0" fontId="37" fillId="12" borderId="0" xfId="0" applyFont="1" applyFill="1" applyBorder="1" applyAlignment="1">
      <alignment horizontal="center" vertical="center"/>
    </xf>
    <xf numFmtId="0" fontId="38" fillId="1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4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numFmt numFmtId="19" formatCode="dd/mm/yyyy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143"/>
      <tableStyleElement type="headerRow" dxfId="142"/>
      <tableStyleElement type="totalRow" dxfId="141"/>
      <tableStyleElement type="lastColumn" dxfId="140"/>
      <tableStyleElement type="pageFieldLabels" dxfId="139"/>
      <tableStyleElement type="pageFieldValues" dxfId="1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20.300'!A1"/><Relationship Id="rId2" Type="http://schemas.openxmlformats.org/officeDocument/2006/relationships/hyperlink" Target="#'100.500'!A1"/><Relationship Id="rId1" Type="http://schemas.openxmlformats.org/officeDocument/2006/relationships/hyperlink" Target="#'100.070'!A1"/><Relationship Id="rId4" Type="http://schemas.openxmlformats.org/officeDocument/2006/relationships/hyperlink" Target="#'280.01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85725</xdr:colOff>
      <xdr:row>4</xdr:row>
      <xdr:rowOff>171450</xdr:rowOff>
    </xdr:to>
    <xdr:sp macro="" textlink="">
      <xdr:nvSpPr>
        <xdr:cNvPr id="21" name="Fluxograma: Processo alternativo 20">
          <a:hlinkClick xmlns:r="http://schemas.openxmlformats.org/officeDocument/2006/relationships" r:id="rId1"/>
        </xdr:cNvPr>
        <xdr:cNvSpPr/>
      </xdr:nvSpPr>
      <xdr:spPr>
        <a:xfrm>
          <a:off x="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1</xdr:col>
      <xdr:colOff>123825</xdr:colOff>
      <xdr:row>2</xdr:row>
      <xdr:rowOff>19050</xdr:rowOff>
    </xdr:from>
    <xdr:to>
      <xdr:col>2</xdr:col>
      <xdr:colOff>209550</xdr:colOff>
      <xdr:row>4</xdr:row>
      <xdr:rowOff>171450</xdr:rowOff>
    </xdr:to>
    <xdr:sp macro="" textlink="">
      <xdr:nvSpPr>
        <xdr:cNvPr id="37" name="Fluxograma: Processo alternativo 36">
          <a:hlinkClick xmlns:r="http://schemas.openxmlformats.org/officeDocument/2006/relationships" r:id="rId2"/>
        </xdr:cNvPr>
        <xdr:cNvSpPr/>
      </xdr:nvSpPr>
      <xdr:spPr>
        <a:xfrm>
          <a:off x="142875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100.500</a:t>
          </a:r>
        </a:p>
      </xdr:txBody>
    </xdr:sp>
    <xdr:clientData/>
  </xdr:twoCellAnchor>
  <xdr:twoCellAnchor>
    <xdr:from>
      <xdr:col>2</xdr:col>
      <xdr:colOff>247650</xdr:colOff>
      <xdr:row>2</xdr:row>
      <xdr:rowOff>28575</xdr:rowOff>
    </xdr:from>
    <xdr:to>
      <xdr:col>3</xdr:col>
      <xdr:colOff>333375</xdr:colOff>
      <xdr:row>4</xdr:row>
      <xdr:rowOff>180975</xdr:rowOff>
    </xdr:to>
    <xdr:sp macro="" textlink="">
      <xdr:nvSpPr>
        <xdr:cNvPr id="38" name="Fluxograma: Processo alternativo 37">
          <a:hlinkClick xmlns:r="http://schemas.openxmlformats.org/officeDocument/2006/relationships" r:id="rId3"/>
        </xdr:cNvPr>
        <xdr:cNvSpPr/>
      </xdr:nvSpPr>
      <xdr:spPr>
        <a:xfrm>
          <a:off x="2857500" y="561975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3</xdr:col>
      <xdr:colOff>371475</xdr:colOff>
      <xdr:row>2</xdr:row>
      <xdr:rowOff>19050</xdr:rowOff>
    </xdr:from>
    <xdr:to>
      <xdr:col>4</xdr:col>
      <xdr:colOff>457200</xdr:colOff>
      <xdr:row>4</xdr:row>
      <xdr:rowOff>171450</xdr:rowOff>
    </xdr:to>
    <xdr:sp macro="" textlink="">
      <xdr:nvSpPr>
        <xdr:cNvPr id="39" name="Fluxograma: Processo alternativo 38">
          <a:hlinkClick xmlns:r="http://schemas.openxmlformats.org/officeDocument/2006/relationships" r:id="rId4"/>
        </xdr:cNvPr>
        <xdr:cNvSpPr/>
      </xdr:nvSpPr>
      <xdr:spPr>
        <a:xfrm>
          <a:off x="428625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904874</xdr:colOff>
      <xdr:row>0</xdr:row>
      <xdr:rowOff>76200</xdr:rowOff>
    </xdr:from>
    <xdr:to>
      <xdr:col>3</xdr:col>
      <xdr:colOff>333374</xdr:colOff>
      <xdr:row>2</xdr:row>
      <xdr:rowOff>295274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76200"/>
          <a:ext cx="1381125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2409825</xdr:colOff>
      <xdr:row>74</xdr:row>
      <xdr:rowOff>76200</xdr:rowOff>
    </xdr:from>
    <xdr:to>
      <xdr:col>0</xdr:col>
      <xdr:colOff>3809999</xdr:colOff>
      <xdr:row>77</xdr:row>
      <xdr:rowOff>38100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269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1962150</xdr:colOff>
      <xdr:row>11</xdr:row>
      <xdr:rowOff>180975</xdr:rowOff>
    </xdr:from>
    <xdr:to>
      <xdr:col>0</xdr:col>
      <xdr:colOff>3362324</xdr:colOff>
      <xdr:row>14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72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2390775</xdr:colOff>
      <xdr:row>14</xdr:row>
      <xdr:rowOff>171450</xdr:rowOff>
    </xdr:from>
    <xdr:to>
      <xdr:col>0</xdr:col>
      <xdr:colOff>3790949</xdr:colOff>
      <xdr:row>17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857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2533650</xdr:colOff>
      <xdr:row>29</xdr:row>
      <xdr:rowOff>123825</xdr:rowOff>
    </xdr:from>
    <xdr:to>
      <xdr:col>0</xdr:col>
      <xdr:colOff>3933824</xdr:colOff>
      <xdr:row>32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53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402.58661539352" createdVersion="5" refreshedVersion="5" minRefreshableVersion="3" recordCount="69">
  <cacheSource type="worksheet">
    <worksheetSource ref="A1:R70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6-08T00:00:00" maxDate="2018-06-09T00:00:00"/>
    </cacheField>
    <cacheField name="CENTRO DE CUSTO" numFmtId="164">
      <sharedItems containsSemiMixedTypes="0" containsString="0" containsNumber="1" containsInteger="1" minValue="100070" maxValue="280010" count="4">
        <n v="100070"/>
        <n v="100500"/>
        <n v="220300"/>
        <n v="280010"/>
      </sharedItems>
    </cacheField>
    <cacheField name="DESCRIÇÃO DO CENTRO DE CUSTO" numFmtId="164">
      <sharedItems/>
    </cacheField>
    <cacheField name="ITEM" numFmtId="164">
      <sharedItems containsSemiMixedTypes="0" containsString="0" containsNumber="1" containsInteger="1" minValue="7" maxValue="125"/>
    </cacheField>
    <cacheField name="DESCRIÇÃO DO ITEM" numFmtId="0">
      <sharedItems count="54" longText="1">
        <s v="AMOXICILINA, CONCENTRAÇÃO 500MG"/>
        <s v="AMOXICILINA, PRINCÍPIO ATIVO ASSOCIADA COM CLAVULANATO DE POTÁSSIO, CONCENTRAÇÃO 875MG + 125MG."/>
        <s v="AZITROMICINA, DOSAGEM 500 MG"/>
        <s v="BROMOPRIDA, DOSAGEM 4 MG/ML, APRESENTAÇÃO GOTAS"/>
        <s v="BROMOPRIDA, DOSAGEM 10 MG"/>
        <s v="CIPROFLOXACINO CLORIDRATO, DOSAGEM 500."/>
        <s v="CEFALEXINA, DOSAGEM 500"/>
        <s v="CLORETO DE SÓDIO, PRINCÍPIO ATIVO 0,9%_ SOLUÇÃO INJETÁVEL, APLICAÇÃO SISTEMA FECHADO"/>
        <s v="CLORETO DE SÓDIO, DOSAGEM 20%, USO SOLUÇÃO INJETÁVEL"/>
        <s v="CLOPIDROGEL, DOSAGEM 75"/>
        <s v="DEXAMETASONA, DOSAGEM 0,1%, APRESENTAÇÃO CREME"/>
        <s v="DIPIRONA SÓDICA, DOSAGEM 500 MG/ML, APRESENTAÇÃO SOLUÇÃO ORAL (GOTAS)"/>
        <s v="EPINEFRINA, DOSAGEM 1MG/ML, USO SOLUÇÃO INJETÁVEL"/>
        <s v="FUROSEMIDA, COMPOSIÇÃO 10 MG/ML, APRESENTAÇÃO SOLUÇÃO INJETÁVEL"/>
        <s v="ESCOPOLAMINA BUTILBROMETO, DOSAGEM 20 MG/ML, INDICAÇÃO SOLUÇÃO INJETÁVEL"/>
        <s v="GLICOSE, CONCENTRAÇÃO 25%, INDICAÇÃO SOLUÇÃO INJETÁVEL"/>
        <s v="GLICOSE, CONCENTRAÇÃO 5%, INDICAÇÃO SOLUÇÃO INJETÁVEL, CARACTERÍSTICAS ADICIONAIS SISTEMA FECHADO"/>
        <s v="IPRATRÓPIO BROMETO, DOSAGEM 0,25 MG/ML, USO SOLUÇÃO PARA INALAÇÃO"/>
        <s v="LEVOFLOXACINO, DOSAGEM 500."/>
        <s v="LIDOCAÍNA CLORIDRATO, DOSAGEM 2%, APRESENTAÇÃO GELÉIA"/>
        <s v="LIDOCAÍNA CLORIDRATO, DOSAGEM 2%, APRESENTAÇÃO INJETÁVEL"/>
        <s v="NIMESULIDA, DOSAGEM 100 MG"/>
        <s v="OMEPRAZOL, CONCENTRAÇÃO 20."/>
        <s v="PARACETAMOL, DOSAGEM COMPRIMIDO 750"/>
        <s v="PARACETAMOL, DOSAGEM SOLUÇÃO ORAL 200 MG/ML, APRESENTAÇÃO SOLUÇÃO ORAL"/>
        <s v="PENICILINA BENZATINA PRÉ DILUÍDA, FRASCO 600000UI. AMPOLA 4ML."/>
        <s v="PROPRANOLOL CLORIDRATO, DOSAGEM 40."/>
        <s v="RANITIDINA CLORIDRATO, DOSAGEM 25 MG/ML, TIP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SULFAMETOXAZOL, COMPOSIÇÃO ASSOCIADO À TRIMETROPINA, CONCENTRAÇÃO 400MG 80MG"/>
        <s v="SULFAMETOXAZOL, COMPOSIÇÃO ASSOCIADO À TRIMETOPRIMA, CONCENTRAÇÃO 800MG 160MG"/>
        <s v="SALBUTAMOL, DOSAGEM 100MCG/DOSE, FORMA FARMACÊUTICA AEROSOL ORAL"/>
        <s v="LUVA PARA PROCEDIMENTO NÃO CIRÚRGICO, MATERIAL LÁTEX NATURAL ÍNTEGRO E UNIFORME, TAMANHO PEQUENO, CARACTERÍSTICAS ADICIONAIS SEM PÓ, TIPO AMBIDESTRA"/>
        <s v="FLUORESCEÍNA, CONCENTRAÇÃO 1%, APLICAÇÃO SOLUÇÃO OFTÁLMICA"/>
        <s v="SULFADIAZINA, PRINCÍPIO ATIVO DE PRATA, DOSAGEM 1%, INDICAÇÃO CREME"/>
        <s v="TOBRAMICINA COLÍRIO, 3MG"/>
        <s v="ÁGUA DESTILADA, ASPECTO FÍSICO BIDESTILADA, ESTÉRIL, APIROGÊNICA"/>
        <s v="DIPIRONA SÓDICA, DOSAGEM 500 MG/ML, APRESENTAÇÃO SOLUÇÃO INJETÁVEL"/>
        <s v="ETOMIDATO, DOSAGEM 2 MG/ML, APRESENTAÇÃO SOLUÇÃO INJETÁVEL"/>
        <s v="HALOPERIDOL, DOSAGEM 5 MG"/>
        <s v="HEPARINA SÓDICA, DOSAGEM 5.000 UI/0,25 ML, INDICAÇÃO INJETÁVEL"/>
        <s v="NALOXONA CLORIDRATO, DOSAGEM 0,4 MG/ML, APRESENTAÇÃO SOLUÇÃO INJETÁVEL"/>
        <s v="ONDANSETRONA CLORIDRATO, DOSAGEM 2 MG/ML, INDICAÇÃO INJETÁVEL"/>
        <s v="FENTANILA, APRESENTAÇÃO SAL CITRATO, DOSAGEM 0,05 MG/ML, INDICAÇÃO SOLUÇÃO INJETÁVEL"/>
        <s v="DEXAMETASONA, DOSAGEM 4 MG"/>
        <s v="GLICONATO DE CÁLCIO, DOSAGEM 10%, APRESENTAÇÃO SOLUÇÃO INJETÁVEL"/>
        <s v="METOCLOPRAMIDA CLORIDRATO, DOSAGEM 5 MG/ML, APRESENTAÇÃO SOLUÇÃO INJETÁVEL"/>
        <s v="PROMETAZINA CLORIDRATO, DOSAGEM 25 MG/ML, APRESENTAÇÃO SOLUÇÃO INJETÁVEL"/>
        <s v="DIAZEPAM, DOSAGEM 5 MG/ML, APRESENTAÇÃO SOLUÇÃO INJETÁVEL"/>
        <s v="ISOFLURANO, APRESENTAÇÃO ANESTÉSICO INALATÓRIO."/>
        <s v="MIDAZOLAM, DOSAGEM 5 MG/ML, APLICAÇÃO INJETÁVEL"/>
        <s v="MORFINA, APRESENTAÇÃO SULFATO, CONCENTRAÇÃO 10MG/ML, FORMA FARMACÊUTICA SOLUÇÃO INJETÁVEL"/>
        <s v="TRAMADOL CLORIDRATO, DOSAGEM 50 MG/ML, FORMA FARMACÊUTICA SOLUÇÃO INJETÁVEL"/>
        <s v="EFEDRINA, APRESENTAÇÃO SULFATO, DOSAGEM 50 MG/ML, APLICAÇÃO SOLUÇÃO INJETÁVEL"/>
      </sharedItems>
    </cacheField>
    <cacheField name="QUANT. DO RELATÓRIO" numFmtId="164">
      <sharedItems containsSemiMixedTypes="0" containsString="0" containsNumber="1" containsInteger="1" minValue="2" maxValue="1000"/>
    </cacheField>
    <cacheField name="VALOR UNITÁRIO" numFmtId="44">
      <sharedItems containsSemiMixedTypes="0" containsString="0" containsNumber="1" minValue="0.32" maxValue="74.8"/>
    </cacheField>
    <cacheField name="DATA DO EMPENHO" numFmtId="14">
      <sharedItems containsSemiMixedTypes="0" containsNonDate="0" containsDate="1" containsString="0" minDate="2017-09-22T00:00:00" maxDate="2017-09-23T00:00:00" count="1">
        <d v="2017-09-22T00:00:00"/>
      </sharedItems>
    </cacheField>
    <cacheField name="Nº DA NOTA DE EMPENHO" numFmtId="164">
      <sharedItems count="11">
        <s v="2017NE801388"/>
        <s v="2017NE801389"/>
        <s v="2017NE801387"/>
        <s v="2017NE801390"/>
        <s v="2017NE801333"/>
        <s v="2017NE801396"/>
        <s v="2017NE801391"/>
        <s v="2017NE801394"/>
        <s v="2017NE801393"/>
        <s v="2017NE801392"/>
        <s v="2017NE801395"/>
      </sharedItems>
    </cacheField>
    <cacheField name="QUANT. EMPENHADA" numFmtId="164">
      <sharedItems containsSemiMixedTypes="0" containsString="0" containsNumber="1" containsInteger="1" minValue="2" maxValue="1000"/>
    </cacheField>
    <cacheField name="VALOR EMPENHADO" numFmtId="44">
      <sharedItems containsSemiMixedTypes="0" containsString="0" containsNumber="1" minValue="5.5" maxValue="3740"/>
    </cacheField>
    <cacheField name="DATA ENTREGA NO ALMOXARIFADO" numFmtId="0">
      <sharedItems containsDate="1" containsBlank="1" containsMixedTypes="1" minDate="2017-11-07T00:00:00" maxDate="2017-11-23T00:00:00"/>
    </cacheField>
    <cacheField name="Nº DA NOTA FISCAL/ RECIBO" numFmtId="0">
      <sharedItems containsBlank="1"/>
    </cacheField>
    <cacheField name="ELEMENTO DA DESPESA" numFmtId="0">
      <sharedItems containsNonDate="0" containsString="0" containsBlank="1"/>
    </cacheField>
    <cacheField name="SUBELEMENTO DA DESPESA" numFmtId="164">
      <sharedItems containsNonDate="0" containsString="0" containsBlank="1"/>
    </cacheField>
    <cacheField name="OBSERVAÇÃO" numFmtId="0">
      <sharedItems count="9">
        <s v="Concluído"/>
        <s v="NOTA DE ANULAÇÃO: 2017NE801887"/>
        <s v="NOTA DE ANULAÇÃO 2018NE800261"/>
        <s v="Concluído "/>
        <s v="NOTA DE ANULAÇÃO: 2017NE801888"/>
        <s v="Faltando 27 Ampolas de dipirona." u="1"/>
        <s v="Ofício de cobrança nº 555/ 17 enviado em 26/01/2018" u="1"/>
        <s v="Ofício de cobrança nº 535/ 17 enviado em 22/01/2018" u="1"/>
        <s v="Ofício de cobrança nº 541/ 17 enviado em 22/01/201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rijhanses" refreshedDate="43472.425408680552" createdVersion="5" refreshedVersion="5" minRefreshableVersion="3" recordCount="104">
  <cacheSource type="worksheet">
    <worksheetSource ref="A1:R105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6-08T00:00:00" maxDate="2018-06-09T00:00:00"/>
    </cacheField>
    <cacheField name="CENTRO DE CUSTO" numFmtId="164">
      <sharedItems containsString="0" containsBlank="1" containsNumber="1" containsInteger="1" minValue="100070" maxValue="280010" count="5">
        <n v="100070"/>
        <n v="100500"/>
        <n v="220300"/>
        <n v="280010"/>
        <m/>
      </sharedItems>
    </cacheField>
    <cacheField name="DESCRIÇÃO DO CENTRO DE CUSTO" numFmtId="164">
      <sharedItems/>
    </cacheField>
    <cacheField name="ITEM" numFmtId="164">
      <sharedItems containsString="0" containsBlank="1" containsNumber="1" containsInteger="1" minValue="2" maxValue="125"/>
    </cacheField>
    <cacheField name="DESCRIÇÃO DO ITEM" numFmtId="0">
      <sharedItems count="67" longText="1">
        <s v="AMOXICILINA, CONCENTRAÇÃO 500MG"/>
        <s v="AMOXICILINA, PRINCÍPIO ATIVO ASSOCIADA COM CLAVULANATO DE POTÁSSIO, CONCENTRAÇÃO 875MG + 125MG."/>
        <s v="AZITROMICINA, DOSAGEM 500 MG"/>
        <s v="BROMOPRIDA, DOSAGEM 4 MG/ML, APRESENTAÇÃO GOTAS"/>
        <s v="BROMOPRIDA, DOSAGEM 10 MG"/>
        <s v="CIPROFLOXACINO CLORIDRATO, DOSAGEM 500."/>
        <s v="CEFALEXINA, DOSAGEM 500"/>
        <s v="CLORETO DE SÓDIO, PRINCÍPIO ATIVO 0,9%_ SOLUÇÃO INJETÁVEL, APLICAÇÃO SISTEMA FECHADO"/>
        <s v="CLORETO DE SÓDIO, DOSAGEM 20%, USO SOLUÇÃO INJETÁVEL"/>
        <s v="CLOPIDROGEL, DOSAGEM 75"/>
        <s v="DEXAMETASONA, DOSAGEM 0,1%, APRESENTAÇÃO CREME"/>
        <s v="DIPIRONA SÓDICA, DOSAGEM 500 MG/ML, APRESENTAÇÃO SOLUÇÃO ORAL (GOTAS)"/>
        <s v="EPINEFRINA, DOSAGEM 1MG/ML, USO SOLUÇÃO INJETÁVEL"/>
        <s v="FUROSEMIDA, COMPOSIÇÃO 10 MG/ML, APRESENTAÇÃO SOLUÇÃO INJETÁVEL"/>
        <s v="ESCOPOLAMINA BUTILBROMETO, DOSAGEM 20 MG/ML, INDICAÇÃO SOLUÇÃO INJETÁVEL"/>
        <s v="GLICOSE, CONCENTRAÇÃO 25%, INDICAÇÃO SOLUÇÃO INJETÁVEL"/>
        <s v="GLICOSE, CONCENTRAÇÃO 5%, INDICAÇÃO SOLUÇÃO INJETÁVEL, CARACTERÍSTICAS ADICIONAIS SISTEMA FECHADO"/>
        <s v="IPRATRÓPIO BROMETO, DOSAGEM 0,25 MG/ML, USO SOLUÇÃO PARA INALAÇÃO"/>
        <s v="LEVOFLOXACINO, DOSAGEM 500."/>
        <s v="LIDOCAÍNA CLORIDRATO, DOSAGEM 2%, APRESENTAÇÃO GELÉIA"/>
        <s v="LIDOCAÍNA CLORIDRATO, DOSAGEM 2%, APRESENTAÇÃO INJETÁVEL"/>
        <s v="NIMESULIDA, DOSAGEM 100 MG"/>
        <s v="OMEPRAZOL, CONCENTRAÇÃO 20."/>
        <s v="PARACETAMOL, DOSAGEM COMPRIMIDO 750"/>
        <s v="PARACETAMOL, DOSAGEM SOLUÇÃO ORAL 200 MG/ML, APRESENTAÇÃO SOLUÇÃO ORAL"/>
        <s v="PENICILINA BENZATINA PRÉ DILUÍDA, FRASCO 600000UI. AMPOLA 4ML."/>
        <s v="PROPRANOLOL CLORIDRATO, DOSAGEM 40."/>
        <s v="RANITIDINA CLORIDRATO, DOSAGEM 25 MG/ML, TIP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SULFAMETOXAZOL, COMPOSIÇÃO ASSOCIADO À TRIMETROPINA, CONCENTRAÇÃO 400MG 80MG"/>
        <s v="SULFAMETOXAZOL, COMPOSIÇÃO ASSOCIADO À TRIMETOPRIMA, CONCENTRAÇÃO 800MG 160MG"/>
        <s v="SALBUTAMOL, DOSAGEM 100MCG/DOSE, FORMA FARMACÊUTICA AEROSOL ORAL"/>
        <s v="LUVA PARA PROCEDIMENTO NÃO CIRÚRGICO, MATERIAL LÁTEX NATURAL ÍNTEGRO E UNIFORME, TAMANHO PEQUENO, CARACTERÍSTICAS ADICIONAIS SEM PÓ, TIPO AMBIDESTRA"/>
        <s v="FLUORESCEÍNA, CONCENTRAÇÃO 1%, APLICAÇÃO SOLUÇÃO OFTÁLMICA"/>
        <s v="SULFADIAZINA, PRINCÍPIO ATIVO DE PRATA, DOSAGEM 1%, INDICAÇÃO CREME"/>
        <s v="TOBRAMICINA COLÍRIO, 3MG"/>
        <s v="ÁGUA DESTILADA, ASPECTO FÍSICO BIDESTILADA, ESTÉRIL, APIROGÊNICA"/>
        <s v="DIPIRONA SÓDICA, DOSAGEM 500 MG/ML, APRESENTAÇÃO SOLUÇÃO INJETÁVEL"/>
        <s v="ETOMIDATO, DOSAGEM 2 MG/ML, APRESENTAÇÃO SOLUÇÃO INJETÁVEL"/>
        <s v="HALOPERIDOL, DOSAGEM 5 MG"/>
        <s v="HEPARINA SÓDICA, DOSAGEM 5.000 UI/0,25 ML, INDICAÇÃO INJETÁVEL"/>
        <s v="NALOXONA CLORIDRATO, DOSAGEM 0,4 MG/ML, APRESENTAÇÃO SOLUÇÃO INJETÁVEL"/>
        <s v="ONDANSETRONA CLORIDRATO, DOSAGEM 2 MG/ML, INDICAÇÃO INJETÁVEL"/>
        <s v="FENTANILA, APRESENTAÇÃO SAL CITRATO, DOSAGEM 0,05 MG/ML, INDICAÇÃO SOLUÇÃO INJETÁVEL"/>
        <s v="DEXAMETASONA, DOSAGEM 4 MG"/>
        <s v="GLICONATO DE CÁLCIO, DOSAGEM 10%, APRESENTAÇÃO SOLUÇÃO INJETÁVEL"/>
        <s v="METOCLOPRAMIDA CLORIDRATO, DOSAGEM 5 MG/ML, APRESENTAÇÃO SOLUÇÃO INJETÁVEL"/>
        <s v="PROMETAZINA CLORIDRATO, DOSAGEM 25 MG/ML, APRESENTAÇÃO SOLUÇÃO INJETÁVEL"/>
        <s v="DIAZEPAM, DOSAGEM 5 MG/ML, APRESENTAÇÃO SOLUÇÃO INJETÁVEL"/>
        <s v="ISOFLURANO, APRESENTAÇÃO ANESTÉSICO INALATÓRIO."/>
        <s v="MIDAZOLAM, DOSAGEM 5 MG/ML, APLICAÇÃO INJETÁVEL"/>
        <s v="MORFINA, APRESENTAÇÃO SULFATO, CONCENTRAÇÃO 10MG/ML, FORMA FARMACÊUTICA SOLUÇÃO INJETÁVEL"/>
        <s v="TRAMADOL CLORIDRATO, DOSAGEM 50 MG/ML, FORMA FARMACÊUTICA SOLUÇÃO INJETÁVEL"/>
        <s v="EFEDRINA, APRESENTAÇÃO SULFATO, DOSAGEM 50 MG/ML, APLICAÇÃO SOLUÇÃO INJETÁVEL"/>
        <e v="#N/A"/>
        <s v="ÁCIDO ACETILSALICÍLICO, DOSAGEM 100."/>
        <s v="ÁCIDO MEFENÂMICO, DOSAGEM 500."/>
        <s v="AMINOFILINA, DOSAGEM 24 MG/ML, FORMA FARMACÊUTICA SOLUÇÃO INJETÁVEL"/>
        <s v="AMIODARONA, DOSAGEM 50MG/ML, INDICAÇÃO INJETÁVEL"/>
        <s v="DESLANÓSIDO, DOSAGEM 0,2 MG/ML, APRESENTAÇÃO SOLUÇÃO INJETÁVEL"/>
        <s v="DICLOFENACO, APRESENTAÇÃO SAL SÓDICO, DOSAGEM 25MG/ML, USO SOLUÇÃO INJETÁVEL"/>
        <s v="DOPAMINA, DOSAGEM 5 MG/ML, APRESENTAÇÃO SOLUÇÃO INJETÁVEL"/>
        <s v="FITOMENADIONA, DOSAGEM 10 MG/ML, APRESENTAÇÃO SOLUÇÃO INJETÁVEL"/>
        <s v="HALOPERIDOL, APRESENTAÇÃO SAL DECANOATO, CONCENTRAÇÃO 50 MG/ML, TIPO USO SOLUÇÃO INJETÁVEL"/>
        <s v="HIDROCORTISONA, COMPOSIÇÃO SAL ACETATO, CONCENTRAÇÃO 100 MG, FORMA FARMACÊUTICA PÓ LIÓFILO P/ INJETÁVEL"/>
        <s v=" ISOSSORBIDA, PRINCÍPIO ATIVO SAL DINITRATO, DOSAGEM 5 MG, TIPO MEDICAMENTO SUBLINGUAL"/>
        <s v="TRAMADOL CLORIDRATO, DOSAGEM 50 MG"/>
      </sharedItems>
    </cacheField>
    <cacheField name="QUANT. DO RELATÓRIO" numFmtId="164">
      <sharedItems containsString="0" containsBlank="1" containsNumber="1" containsInteger="1" minValue="2" maxValue="1650"/>
    </cacheField>
    <cacheField name="VALOR UNITÁRIO" numFmtId="44">
      <sharedItems containsMixedTypes="1" containsNumber="1" minValue="0.32" maxValue="74.8"/>
    </cacheField>
    <cacheField name="DATA DO EMPENHO" numFmtId="14">
      <sharedItems containsNonDate="0" containsDate="1" containsString="0" containsBlank="1" minDate="2017-09-22T00:00:00" maxDate="2018-05-22T00:00:00" count="3">
        <d v="2017-09-22T00:00:00"/>
        <m/>
        <d v="2018-05-21T00:00:00"/>
      </sharedItems>
    </cacheField>
    <cacheField name="Nº DA NOTA DE EMPENHO" numFmtId="164">
      <sharedItems containsBlank="1" count="13">
        <s v="2017NE801388"/>
        <s v="2017NE801389"/>
        <s v="2017NE801387"/>
        <s v="2017NE801390"/>
        <s v="2017NE801333"/>
        <s v="2017NE801396"/>
        <s v="2017NE801391"/>
        <s v="2017NE801394"/>
        <s v="2017NE801393"/>
        <s v="2017NE801392"/>
        <s v="2017NE801395"/>
        <m/>
        <s v="2018NE800389"/>
      </sharedItems>
    </cacheField>
    <cacheField name="QUANT. EMPENHADA" numFmtId="164">
      <sharedItems containsString="0" containsBlank="1" containsNumber="1" containsInteger="1" minValue="2" maxValue="1650"/>
    </cacheField>
    <cacheField name="VALOR EMPENHADO" numFmtId="44">
      <sharedItems containsMixedTypes="1" containsNumber="1" minValue="5.5" maxValue="3740"/>
    </cacheField>
    <cacheField name="DATA ENTREGA NO ALMOXARIFADO" numFmtId="0">
      <sharedItems containsDate="1" containsBlank="1" containsMixedTypes="1" minDate="2017-11-07T00:00:00" maxDate="2017-11-23T00:00:00"/>
    </cacheField>
    <cacheField name="Nº DA NOTA FISCAL/ RECIBO" numFmtId="0">
      <sharedItems containsBlank="1"/>
    </cacheField>
    <cacheField name="ELEMENTO DA DESPESA" numFmtId="0">
      <sharedItems containsString="0" containsBlank="1" containsNumber="1" containsInteger="1" minValue="0" maxValue="0"/>
    </cacheField>
    <cacheField name="SUBELEMENTO DA DESPESA" numFmtId="164">
      <sharedItems containsBlank="1"/>
    </cacheField>
    <cacheField name="OBSERVAÇÃO" numFmtId="0">
      <sharedItems containsBlank="1" count="6">
        <s v="Concluído"/>
        <s v="NOTA DE ANULAÇÃO: 2017NE801887"/>
        <s v="NOTA DE ANULAÇÃO 2018NE800261"/>
        <s v="Concluído "/>
        <s v="NOTA DE ANULAÇÃO: 2017NE80188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23083.001631/2017-25"/>
    <s v="37/2017"/>
    <d v="2018-06-08T00:00:00"/>
    <x v="0"/>
    <s v="POSTO MÉDICO"/>
    <n v="11"/>
    <x v="0"/>
    <n v="50"/>
    <n v="6"/>
    <x v="0"/>
    <x v="0"/>
    <n v="50"/>
    <n v="300"/>
    <s v="28/12/2017 e 13/03/2018"/>
    <s v="Papeleta 141/2018"/>
    <m/>
    <m/>
    <x v="0"/>
  </r>
  <r>
    <s v="23083.001631/2017-25"/>
    <s v="37/2017"/>
    <d v="2018-06-08T00:00:00"/>
    <x v="0"/>
    <s v="POSTO MÉDICO"/>
    <n v="12"/>
    <x v="1"/>
    <n v="50"/>
    <n v="74.8"/>
    <x v="0"/>
    <x v="0"/>
    <n v="50"/>
    <n v="3740"/>
    <s v="28/12/2017 e 13/03/2018"/>
    <s v="Papeleta 141/2018"/>
    <m/>
    <m/>
    <x v="0"/>
  </r>
  <r>
    <s v="23083.001631/2017-25"/>
    <s v="37/2017"/>
    <d v="2018-06-08T00:00:00"/>
    <x v="0"/>
    <s v="POSTO MÉDICO"/>
    <n v="15"/>
    <x v="2"/>
    <n v="1000"/>
    <n v="0.7"/>
    <x v="0"/>
    <x v="1"/>
    <n v="1000"/>
    <n v="700"/>
    <s v="Entrega em 09/04/2018"/>
    <s v="Papeleta 168/2018"/>
    <m/>
    <m/>
    <x v="0"/>
  </r>
  <r>
    <s v="23083.001631/2017-25"/>
    <s v="37/2017"/>
    <d v="2018-06-08T00:00:00"/>
    <x v="0"/>
    <s v="POSTO MÉDICO"/>
    <n v="20"/>
    <x v="3"/>
    <n v="15"/>
    <n v="1.61"/>
    <x v="0"/>
    <x v="1"/>
    <n v="15"/>
    <n v="24.150000000000002"/>
    <s v="Entrega em 09/04/2018"/>
    <s v="Papeleta 168/2018"/>
    <m/>
    <m/>
    <x v="0"/>
  </r>
  <r>
    <s v="23083.001631/2017-25"/>
    <s v="37/2017"/>
    <d v="2018-06-08T00:00:00"/>
    <x v="0"/>
    <s v="POSTO MÉDICO"/>
    <n v="19"/>
    <x v="4"/>
    <n v="50"/>
    <n v="1.19"/>
    <x v="0"/>
    <x v="0"/>
    <n v="50"/>
    <n v="59.5"/>
    <s v="28/12/2017 e 13/03/2018"/>
    <s v="Papeleta 141/2018"/>
    <m/>
    <m/>
    <x v="0"/>
  </r>
  <r>
    <s v="23083.001631/2017-25"/>
    <s v="37/2017"/>
    <d v="2018-06-08T00:00:00"/>
    <x v="0"/>
    <s v="POSTO MÉDICO"/>
    <n v="23"/>
    <x v="5"/>
    <n v="72"/>
    <n v="4.2"/>
    <x v="0"/>
    <x v="2"/>
    <n v="72"/>
    <n v="302.40000000000003"/>
    <m/>
    <m/>
    <m/>
    <m/>
    <x v="1"/>
  </r>
  <r>
    <s v="23083.001631/2017-25"/>
    <s v="37/2017"/>
    <d v="2018-06-08T00:00:00"/>
    <x v="0"/>
    <s v="POSTO MÉDICO"/>
    <n v="24"/>
    <x v="6"/>
    <n v="25"/>
    <n v="44.92"/>
    <x v="0"/>
    <x v="1"/>
    <n v="25"/>
    <n v="1123"/>
    <s v="Entrega em 09/04/2018"/>
    <s v="Papeleta 168/2018"/>
    <m/>
    <m/>
    <x v="0"/>
  </r>
  <r>
    <s v="23083.001631/2017-25"/>
    <s v="37/2017"/>
    <d v="2018-06-08T00:00:00"/>
    <x v="0"/>
    <s v="POSTO MÉDICO"/>
    <n v="25"/>
    <x v="7"/>
    <n v="100"/>
    <n v="0.81"/>
    <x v="0"/>
    <x v="0"/>
    <n v="100"/>
    <n v="81"/>
    <s v="28/12/2017 e 13/03/2018"/>
    <s v="Papeleta 141/2018"/>
    <m/>
    <m/>
    <x v="0"/>
  </r>
  <r>
    <s v="23083.001631/2017-25"/>
    <s v="37/2017"/>
    <d v="2018-06-08T00:00:00"/>
    <x v="0"/>
    <s v="POSTO MÉDICO"/>
    <n v="26"/>
    <x v="8"/>
    <n v="10"/>
    <n v="0.55000000000000004"/>
    <x v="0"/>
    <x v="0"/>
    <n v="10"/>
    <n v="5.5"/>
    <s v="28/12/2017 e 13/03/2018"/>
    <s v="Papeleta 141/2018"/>
    <m/>
    <m/>
    <x v="0"/>
  </r>
  <r>
    <s v="23083.001631/2017-25"/>
    <s v="37/2017"/>
    <d v="2018-06-08T00:00:00"/>
    <x v="0"/>
    <s v="POSTO MÉDICO"/>
    <n v="32"/>
    <x v="9"/>
    <n v="2"/>
    <n v="18"/>
    <x v="0"/>
    <x v="0"/>
    <n v="2"/>
    <n v="36"/>
    <s v="28/12/2017 e 13/03/2018"/>
    <s v="Papeleta 141/2018"/>
    <m/>
    <m/>
    <x v="0"/>
  </r>
  <r>
    <s v="23083.001631/2017-25"/>
    <s v="37/2017"/>
    <d v="2018-06-08T00:00:00"/>
    <x v="0"/>
    <s v="POSTO MÉDICO"/>
    <n v="39"/>
    <x v="10"/>
    <n v="50"/>
    <n v="1"/>
    <x v="0"/>
    <x v="2"/>
    <n v="50"/>
    <n v="50"/>
    <m/>
    <m/>
    <m/>
    <m/>
    <x v="1"/>
  </r>
  <r>
    <s v="23083.001631/2017-25"/>
    <s v="37/2017"/>
    <d v="2018-06-08T00:00:00"/>
    <x v="0"/>
    <s v="POSTO MÉDICO"/>
    <n v="49"/>
    <x v="11"/>
    <n v="50"/>
    <n v="1.42"/>
    <x v="0"/>
    <x v="2"/>
    <n v="50"/>
    <n v="71"/>
    <m/>
    <m/>
    <m/>
    <m/>
    <x v="1"/>
  </r>
  <r>
    <s v="23083.001631/2017-25"/>
    <s v="37/2017"/>
    <d v="2018-06-08T00:00:00"/>
    <x v="0"/>
    <s v="POSTO MÉDICO"/>
    <n v="52"/>
    <x v="12"/>
    <n v="20"/>
    <n v="3.5"/>
    <x v="0"/>
    <x v="3"/>
    <n v="20"/>
    <n v="70"/>
    <d v="2017-11-07T00:00:00"/>
    <s v="Papeleta 637/2017"/>
    <m/>
    <m/>
    <x v="0"/>
  </r>
  <r>
    <s v="23083.001631/2017-25"/>
    <s v="37/2017"/>
    <d v="2018-06-08T00:00:00"/>
    <x v="0"/>
    <s v="POSTO MÉDICO"/>
    <n v="62"/>
    <x v="13"/>
    <n v="100"/>
    <n v="0.73"/>
    <x v="0"/>
    <x v="1"/>
    <n v="100"/>
    <n v="73"/>
    <s v="Entrega em 09/04/2018"/>
    <s v="Papeleta 168/2018"/>
    <m/>
    <m/>
    <x v="0"/>
  </r>
  <r>
    <s v="23083.001631/2017-25"/>
    <s v="37/2017"/>
    <d v="2018-06-08T00:00:00"/>
    <x v="0"/>
    <s v="POSTO MÉDICO"/>
    <n v="54"/>
    <x v="14"/>
    <n v="150"/>
    <n v="1.4"/>
    <x v="0"/>
    <x v="3"/>
    <n v="150"/>
    <n v="210"/>
    <d v="2017-11-07T00:00:00"/>
    <s v="Papeleta 637/2017"/>
    <m/>
    <m/>
    <x v="0"/>
  </r>
  <r>
    <s v="23083.001631/2017-25"/>
    <s v="37/2017"/>
    <d v="2018-06-08T00:00:00"/>
    <x v="0"/>
    <s v="POSTO MÉDICO"/>
    <n v="64"/>
    <x v="15"/>
    <n v="200"/>
    <n v="0.43"/>
    <x v="0"/>
    <x v="3"/>
    <n v="200"/>
    <n v="86"/>
    <d v="2017-11-07T00:00:00"/>
    <s v="Papeleta 637/2017"/>
    <m/>
    <m/>
    <x v="0"/>
  </r>
  <r>
    <s v="23083.001631/2017-25"/>
    <s v="37/2017"/>
    <d v="2018-06-08T00:00:00"/>
    <x v="0"/>
    <s v="POSTO MÉDICO"/>
    <n v="65"/>
    <x v="16"/>
    <n v="200"/>
    <n v="6.5"/>
    <x v="0"/>
    <x v="3"/>
    <n v="200"/>
    <n v="1300"/>
    <d v="2017-11-07T00:00:00"/>
    <s v="Papeleta 637/2017"/>
    <m/>
    <m/>
    <x v="0"/>
  </r>
  <r>
    <s v="23083.001631/2017-25"/>
    <s v="37/2017"/>
    <d v="2018-06-08T00:00:00"/>
    <x v="0"/>
    <s v="POSTO MÉDICO"/>
    <n v="73"/>
    <x v="17"/>
    <n v="10"/>
    <n v="1.07"/>
    <x v="0"/>
    <x v="1"/>
    <n v="10"/>
    <n v="10.700000000000001"/>
    <s v="Entrega em 09/04/2018"/>
    <s v="Papeleta 168/2018"/>
    <m/>
    <m/>
    <x v="0"/>
  </r>
  <r>
    <s v="23083.001631/2017-25"/>
    <s v="37/2017"/>
    <d v="2018-06-08T00:00:00"/>
    <x v="0"/>
    <s v="POSTO MÉDICO"/>
    <n v="76"/>
    <x v="18"/>
    <n v="100"/>
    <n v="20"/>
    <x v="0"/>
    <x v="0"/>
    <n v="100"/>
    <n v="2000"/>
    <s v="28/12/2017 e 13/03/2018"/>
    <s v="Papeleta 141/2018"/>
    <m/>
    <m/>
    <x v="0"/>
  </r>
  <r>
    <s v="23083.001631/2017-25"/>
    <s v="37/2017"/>
    <d v="2018-06-08T00:00:00"/>
    <x v="0"/>
    <s v="POSTO MÉDICO"/>
    <n v="77"/>
    <x v="19"/>
    <n v="10"/>
    <n v="2.09"/>
    <x v="0"/>
    <x v="2"/>
    <n v="10"/>
    <n v="20.9"/>
    <m/>
    <m/>
    <m/>
    <m/>
    <x v="1"/>
  </r>
  <r>
    <s v="23083.001631/2017-25"/>
    <s v="37/2017"/>
    <d v="2018-06-08T00:00:00"/>
    <x v="0"/>
    <s v="POSTO MÉDICO"/>
    <n v="78"/>
    <x v="20"/>
    <n v="100"/>
    <n v="1.96"/>
    <x v="0"/>
    <x v="1"/>
    <n v="100"/>
    <n v="196"/>
    <s v="Entrega em 09/04/2018"/>
    <s v="Papeleta 168/2018"/>
    <m/>
    <m/>
    <x v="0"/>
  </r>
  <r>
    <s v="23083.001631/2017-25"/>
    <s v="37/2017"/>
    <d v="2018-06-08T00:00:00"/>
    <x v="0"/>
    <s v="POSTO MÉDICO"/>
    <n v="90"/>
    <x v="21"/>
    <n v="50"/>
    <n v="2.62"/>
    <x v="0"/>
    <x v="1"/>
    <n v="50"/>
    <n v="131"/>
    <s v="Entrega em 09/04/2018"/>
    <s v="Papeleta 168/2018"/>
    <m/>
    <m/>
    <x v="0"/>
  </r>
  <r>
    <s v="23083.001631/2017-25"/>
    <s v="37/2017"/>
    <d v="2018-06-08T00:00:00"/>
    <x v="0"/>
    <s v="POSTO MÉDICO"/>
    <n v="92"/>
    <x v="22"/>
    <n v="18"/>
    <n v="5.85"/>
    <x v="0"/>
    <x v="1"/>
    <n v="18"/>
    <n v="105.3"/>
    <s v="Entrega em 09/04/2018"/>
    <s v="Papeleta 168/2018"/>
    <m/>
    <m/>
    <x v="0"/>
  </r>
  <r>
    <s v="23083.001631/2017-25"/>
    <s v="37/2017"/>
    <d v="2018-06-08T00:00:00"/>
    <x v="0"/>
    <s v="POSTO MÉDICO"/>
    <n v="94"/>
    <x v="23"/>
    <n v="75"/>
    <n v="3.56"/>
    <x v="0"/>
    <x v="2"/>
    <n v="75"/>
    <n v="267"/>
    <m/>
    <m/>
    <m/>
    <m/>
    <x v="1"/>
  </r>
  <r>
    <s v="23083.001631/2017-25"/>
    <s v="37/2017"/>
    <d v="2018-06-08T00:00:00"/>
    <x v="0"/>
    <s v="POSTO MÉDICO"/>
    <n v="95"/>
    <x v="24"/>
    <n v="10"/>
    <n v="3.58"/>
    <x v="0"/>
    <x v="0"/>
    <n v="10"/>
    <n v="35.799999999999997"/>
    <s v="28/12/2017 e 13/03/2018"/>
    <s v="Papeleta 141/2018"/>
    <m/>
    <m/>
    <x v="0"/>
  </r>
  <r>
    <s v="23083.001631/2017-25"/>
    <s v="37/2017"/>
    <d v="2018-06-08T00:00:00"/>
    <x v="0"/>
    <s v="POSTO MÉDICO"/>
    <n v="96"/>
    <x v="25"/>
    <n v="50"/>
    <n v="7.5"/>
    <x v="0"/>
    <x v="0"/>
    <n v="50"/>
    <n v="375"/>
    <s v="28/12/2017 e 13/03/2018"/>
    <s v="Papeleta 141/2018"/>
    <m/>
    <m/>
    <x v="0"/>
  </r>
  <r>
    <s v="23083.001631/2017-25"/>
    <s v="37/2017"/>
    <d v="2018-06-08T00:00:00"/>
    <x v="0"/>
    <s v="POSTO MÉDICO"/>
    <n v="102"/>
    <x v="26"/>
    <n v="2"/>
    <n v="3.67"/>
    <x v="0"/>
    <x v="2"/>
    <n v="2"/>
    <n v="7.34"/>
    <m/>
    <m/>
    <m/>
    <m/>
    <x v="1"/>
  </r>
  <r>
    <s v="23083.001631/2017-25"/>
    <s v="37/2017"/>
    <d v="2018-06-08T00:00:00"/>
    <x v="0"/>
    <s v="POSTO MÉDICO"/>
    <n v="103"/>
    <x v="27"/>
    <n v="200"/>
    <n v="1.25"/>
    <x v="0"/>
    <x v="1"/>
    <n v="200"/>
    <n v="250"/>
    <s v="Entrega em 09/04/2018"/>
    <s v="Papeleta 168/2018"/>
    <m/>
    <m/>
    <x v="0"/>
  </r>
  <r>
    <s v="23083.001631/2017-25"/>
    <s v="37/2017"/>
    <d v="2018-06-08T00:00:00"/>
    <x v="0"/>
    <s v="POSTO MÉDICO"/>
    <n v="106"/>
    <x v="28"/>
    <n v="500"/>
    <n v="0.88"/>
    <x v="0"/>
    <x v="2"/>
    <n v="500"/>
    <n v="440"/>
    <m/>
    <m/>
    <m/>
    <m/>
    <x v="1"/>
  </r>
  <r>
    <s v="23083.001631/2017-25"/>
    <s v="37/2017"/>
    <d v="2018-06-08T00:00:00"/>
    <x v="0"/>
    <s v="POSTO MÉDICO"/>
    <n v="110"/>
    <x v="29"/>
    <n v="50"/>
    <n v="14.51"/>
    <x v="0"/>
    <x v="2"/>
    <n v="50"/>
    <n v="725.5"/>
    <m/>
    <m/>
    <m/>
    <m/>
    <x v="1"/>
  </r>
  <r>
    <s v="23083.001631/2017-25"/>
    <s v="37/2017"/>
    <d v="2018-06-08T00:00:00"/>
    <x v="0"/>
    <s v="POSTO MÉDICO"/>
    <n v="111"/>
    <x v="30"/>
    <n v="100"/>
    <n v="5.08"/>
    <x v="0"/>
    <x v="2"/>
    <n v="100"/>
    <n v="508"/>
    <m/>
    <m/>
    <m/>
    <m/>
    <x v="1"/>
  </r>
  <r>
    <s v="23083.001631/2017-25"/>
    <s v="37/2017"/>
    <d v="2018-06-08T00:00:00"/>
    <x v="0"/>
    <s v="POSTO MÉDICO"/>
    <n v="121"/>
    <x v="31"/>
    <n v="5"/>
    <n v="12.5"/>
    <x v="0"/>
    <x v="1"/>
    <n v="5"/>
    <n v="62.5"/>
    <s v="Entrega em 09/04/2018"/>
    <s v="Papeleta 168/2018"/>
    <m/>
    <m/>
    <x v="0"/>
  </r>
  <r>
    <s v="23083.001631/2017-25"/>
    <s v="37/2017"/>
    <d v="2018-06-08T00:00:00"/>
    <x v="0"/>
    <s v="POSTO MÉDICO"/>
    <n v="125"/>
    <x v="32"/>
    <n v="60"/>
    <n v="21"/>
    <x v="0"/>
    <x v="4"/>
    <n v="60"/>
    <n v="1260"/>
    <d v="2017-11-08T00:00:00"/>
    <s v="Papeleta 636/2017"/>
    <m/>
    <m/>
    <x v="0"/>
  </r>
  <r>
    <s v="23083.001631/2017-25"/>
    <s v="37/2017"/>
    <d v="2018-06-08T00:00:00"/>
    <x v="1"/>
    <s v="COORDENADORIA DE DESENVOLVIMENTO DA PRODUÇÃO"/>
    <n v="29"/>
    <x v="7"/>
    <n v="100"/>
    <n v="6.56"/>
    <x v="0"/>
    <x v="5"/>
    <n v="100"/>
    <n v="656"/>
    <d v="2017-11-07T00:00:00"/>
    <s v="NF 1936"/>
    <m/>
    <m/>
    <x v="0"/>
  </r>
  <r>
    <s v="23083.001631/2017-25"/>
    <s v="37/2017"/>
    <d v="2018-06-08T00:00:00"/>
    <x v="1"/>
    <s v="COORDENADORIA DE DESENVOLVIMENTO DA PRODUÇÃO"/>
    <n v="61"/>
    <x v="33"/>
    <n v="20"/>
    <n v="9"/>
    <x v="0"/>
    <x v="6"/>
    <n v="20"/>
    <n v="180"/>
    <s v="Vencido em 24/11/2017"/>
    <m/>
    <m/>
    <m/>
    <x v="2"/>
  </r>
  <r>
    <s v="23083.001631/2017-25"/>
    <s v="37/2017"/>
    <d v="2018-06-08T00:00:00"/>
    <x v="1"/>
    <s v="COORDENADORIA DE DESENVOLVIMENTO DA PRODUÇÃO"/>
    <n v="79"/>
    <x v="20"/>
    <n v="60"/>
    <n v="3.69"/>
    <x v="0"/>
    <x v="7"/>
    <n v="60"/>
    <n v="221.4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08"/>
    <x v="34"/>
    <n v="40"/>
    <n v="5.04"/>
    <x v="0"/>
    <x v="7"/>
    <n v="40"/>
    <n v="201.6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14"/>
    <x v="35"/>
    <n v="30"/>
    <n v="8.1300000000000008"/>
    <x v="0"/>
    <x v="7"/>
    <n v="30"/>
    <n v="243.90000000000003"/>
    <s v="Entrega em 09/04/2018 e 24/04/2018"/>
    <s v="NF/ 9145 e 9382"/>
    <m/>
    <m/>
    <x v="0"/>
  </r>
  <r>
    <s v="23083.001631/2017-25"/>
    <s v="37/2017"/>
    <d v="2018-06-08T00:00:00"/>
    <x v="2"/>
    <s v="DEPARTAMENTO DE CIÊNCIAS FISIOLÓGICAS"/>
    <n v="7"/>
    <x v="36"/>
    <n v="50"/>
    <n v="0.32"/>
    <x v="0"/>
    <x v="8"/>
    <n v="50"/>
    <n v="16"/>
    <s v="Entrega em 01/03/2018"/>
    <s v="Papeleta 140/2018"/>
    <m/>
    <m/>
    <x v="0"/>
  </r>
  <r>
    <s v="23083.001631/2017-25"/>
    <s v="37/2017"/>
    <d v="2018-06-08T00:00:00"/>
    <x v="2"/>
    <s v="DEPARTAMENTO DE CIÊNCIAS FISIOLÓGICAS"/>
    <n v="48"/>
    <x v="37"/>
    <n v="20"/>
    <n v="0.75"/>
    <x v="0"/>
    <x v="5"/>
    <n v="20"/>
    <n v="15"/>
    <d v="2017-11-07T00:00:00"/>
    <s v="Papeleta 158/2018"/>
    <m/>
    <m/>
    <x v="3"/>
  </r>
  <r>
    <s v="23083.001631/2017-25"/>
    <s v="37/2017"/>
    <d v="2018-06-08T00:00:00"/>
    <x v="2"/>
    <s v="DEPARTAMENTO DE CIÊNCIAS FISIOLÓGICAS"/>
    <n v="55"/>
    <x v="38"/>
    <n v="24"/>
    <n v="15.75"/>
    <x v="0"/>
    <x v="9"/>
    <n v="24"/>
    <n v="378"/>
    <m/>
    <m/>
    <m/>
    <m/>
    <x v="4"/>
  </r>
  <r>
    <s v="23083.001631/2017-25"/>
    <s v="37/2017"/>
    <d v="2018-06-08T00:00:00"/>
    <x v="2"/>
    <s v="DEPARTAMENTO DE CIÊNCIAS FISIOLÓGICAS"/>
    <n v="67"/>
    <x v="39"/>
    <n v="48"/>
    <n v="2.6"/>
    <x v="0"/>
    <x v="9"/>
    <n v="48"/>
    <n v="124.80000000000001"/>
    <m/>
    <m/>
    <m/>
    <m/>
    <x v="4"/>
  </r>
  <r>
    <s v="23083.001631/2017-25"/>
    <s v="37/2017"/>
    <d v="2018-06-08T00:00:00"/>
    <x v="2"/>
    <s v="DEPARTAMENTO DE CIÊNCIAS FISIOLÓGICAS"/>
    <n v="69"/>
    <x v="40"/>
    <n v="60"/>
    <n v="5"/>
    <x v="0"/>
    <x v="6"/>
    <n v="60"/>
    <n v="300"/>
    <s v="Vencido em 24/11/2017"/>
    <m/>
    <m/>
    <m/>
    <x v="2"/>
  </r>
  <r>
    <s v="23083.001631/2017-25"/>
    <s v="37/2017"/>
    <d v="2018-06-08T00:00:00"/>
    <x v="2"/>
    <s v="DEPARTAMENTO DE CIÊNCIAS FISIOLÓGICAS"/>
    <n v="89"/>
    <x v="41"/>
    <n v="30"/>
    <n v="6.1"/>
    <x v="0"/>
    <x v="5"/>
    <n v="30"/>
    <n v="183"/>
    <d v="2017-11-07T00:00:00"/>
    <s v="NF 1936"/>
    <m/>
    <m/>
    <x v="0"/>
  </r>
  <r>
    <s v="23083.001631/2017-25"/>
    <s v="37/2017"/>
    <d v="2018-06-08T00:00:00"/>
    <x v="2"/>
    <s v="DEPARTAMENTO DE CIÊNCIAS FISIOLÓGICAS"/>
    <n v="93"/>
    <x v="42"/>
    <n v="12"/>
    <n v="2.3199999999999998"/>
    <x v="0"/>
    <x v="9"/>
    <n v="12"/>
    <n v="27.839999999999996"/>
    <m/>
    <m/>
    <m/>
    <m/>
    <x v="4"/>
  </r>
  <r>
    <s v="23083.001631/2017-25"/>
    <s v="37/2017"/>
    <d v="2018-06-08T00:00:00"/>
    <x v="2"/>
    <s v="DEPARTAMENTO DE CIÊNCIAS FISIOLÓGICAS"/>
    <n v="58"/>
    <x v="43"/>
    <n v="30"/>
    <n v="4"/>
    <x v="0"/>
    <x v="5"/>
    <n v="30"/>
    <n v="120"/>
    <d v="2017-11-07T00:00:00"/>
    <s v="NF 1936"/>
    <m/>
    <m/>
    <x v="0"/>
  </r>
  <r>
    <s v="23083.001631/2017-25"/>
    <s v="37/2017"/>
    <d v="2018-06-08T00:00:00"/>
    <x v="3"/>
    <s v="HOSPITAL VETERINÁRIO"/>
    <n v="26"/>
    <x v="8"/>
    <n v="200"/>
    <n v="0.55000000000000004"/>
    <x v="0"/>
    <x v="8"/>
    <n v="200"/>
    <n v="110.00000000000001"/>
    <s v="Entrega em 01/03/2018"/>
    <s v="Papeleta 140/2018"/>
    <m/>
    <m/>
    <x v="0"/>
  </r>
  <r>
    <s v="23083.001631/2017-25"/>
    <s v="37/2017"/>
    <d v="2018-06-08T00:00:00"/>
    <x v="3"/>
    <s v="HOSPITAL VETERINÁRIO"/>
    <n v="39"/>
    <x v="10"/>
    <n v="40"/>
    <n v="1"/>
    <x v="0"/>
    <x v="9"/>
    <n v="40"/>
    <n v="40"/>
    <m/>
    <m/>
    <m/>
    <m/>
    <x v="4"/>
  </r>
  <r>
    <s v="23083.001631/2017-25"/>
    <s v="37/2017"/>
    <d v="2018-06-08T00:00:00"/>
    <x v="3"/>
    <s v="HOSPITAL VETERINÁRIO"/>
    <n v="38"/>
    <x v="44"/>
    <n v="100"/>
    <n v="0.97"/>
    <x v="0"/>
    <x v="7"/>
    <n v="100"/>
    <n v="97"/>
    <s v="Entrega em 09/04/2018 e 24/04/2018"/>
    <s v="NF/ 9145 e 9382"/>
    <m/>
    <m/>
    <x v="0"/>
  </r>
  <r>
    <s v="23083.001631/2017-25"/>
    <s v="37/2017"/>
    <d v="2018-06-08T00:00:00"/>
    <x v="3"/>
    <s v="HOSPITAL VETERINÁRIO"/>
    <n v="48"/>
    <x v="37"/>
    <n v="500"/>
    <n v="0.75"/>
    <x v="0"/>
    <x v="5"/>
    <n v="500"/>
    <n v="375"/>
    <d v="2017-11-07T00:00:00"/>
    <s v="Papeleta 158/2018"/>
    <m/>
    <m/>
    <x v="3"/>
  </r>
  <r>
    <s v="23083.001631/2017-25"/>
    <s v="37/2017"/>
    <d v="2018-06-08T00:00:00"/>
    <x v="3"/>
    <s v="HOSPITAL VETERINÁRIO"/>
    <n v="52"/>
    <x v="12"/>
    <n v="100"/>
    <n v="3.5"/>
    <x v="0"/>
    <x v="5"/>
    <n v="100"/>
    <n v="350"/>
    <d v="2017-11-07T00:00:00"/>
    <s v="NF 1936"/>
    <m/>
    <m/>
    <x v="0"/>
  </r>
  <r>
    <s v="23083.001631/2017-25"/>
    <s v="37/2017"/>
    <d v="2018-06-08T00:00:00"/>
    <x v="3"/>
    <s v="HOSPITAL VETERINÁRIO"/>
    <n v="54"/>
    <x v="14"/>
    <n v="100"/>
    <n v="1.4"/>
    <x v="0"/>
    <x v="5"/>
    <n v="100"/>
    <n v="140"/>
    <d v="2017-11-07T00:00:00"/>
    <s v="NF 1936"/>
    <m/>
    <m/>
    <x v="0"/>
  </r>
  <r>
    <s v="23083.001631/2017-25"/>
    <s v="37/2017"/>
    <d v="2018-06-08T00:00:00"/>
    <x v="3"/>
    <s v="HOSPITAL VETERINÁRIO"/>
    <n v="61"/>
    <x v="33"/>
    <n v="10"/>
    <n v="9"/>
    <x v="0"/>
    <x v="6"/>
    <n v="10"/>
    <n v="90"/>
    <s v="Vencido em 24/11/2017"/>
    <m/>
    <m/>
    <m/>
    <x v="2"/>
  </r>
  <r>
    <s v="23083.001631/2017-25"/>
    <s v="37/2017"/>
    <d v="2018-06-08T00:00:00"/>
    <x v="3"/>
    <s v="HOSPITAL VETERINÁRIO"/>
    <n v="62"/>
    <x v="13"/>
    <n v="100"/>
    <n v="0.73"/>
    <x v="0"/>
    <x v="7"/>
    <n v="100"/>
    <n v="73"/>
    <s v="Entrega em 09/04/2018 e 24/04/2018"/>
    <s v="NF/ 9145 e 9382"/>
    <m/>
    <m/>
    <x v="0"/>
  </r>
  <r>
    <s v="23083.001631/2017-25"/>
    <s v="37/2017"/>
    <d v="2018-06-08T00:00:00"/>
    <x v="3"/>
    <s v="HOSPITAL VETERINÁRIO"/>
    <n v="64"/>
    <x v="15"/>
    <n v="100"/>
    <n v="0.43"/>
    <x v="0"/>
    <x v="5"/>
    <n v="100"/>
    <n v="43"/>
    <d v="2017-11-07T00:00:00"/>
    <s v="NF 1936"/>
    <m/>
    <m/>
    <x v="0"/>
  </r>
  <r>
    <s v="23083.001631/2017-25"/>
    <s v="37/2017"/>
    <d v="2018-06-08T00:00:00"/>
    <x v="3"/>
    <s v="HOSPITAL VETERINÁRIO"/>
    <n v="66"/>
    <x v="45"/>
    <n v="10"/>
    <n v="2.98"/>
    <x v="0"/>
    <x v="8"/>
    <n v="10"/>
    <n v="29.8"/>
    <s v="Entrega em 01/03/2018"/>
    <s v="Papeleta 140/2018"/>
    <m/>
    <m/>
    <x v="0"/>
  </r>
  <r>
    <s v="23083.001631/2017-25"/>
    <s v="37/2017"/>
    <d v="2018-06-08T00:00:00"/>
    <x v="3"/>
    <s v="HOSPITAL VETERINÁRIO"/>
    <n v="83"/>
    <x v="46"/>
    <n v="100"/>
    <n v="0.55000000000000004"/>
    <x v="0"/>
    <x v="7"/>
    <n v="100"/>
    <n v="55.000000000000007"/>
    <s v="Entrega em 09/04/2018 e 24/04/2018"/>
    <s v="NF/ 9145 e 9382"/>
    <m/>
    <m/>
    <x v="0"/>
  </r>
  <r>
    <s v="23083.001631/2017-25"/>
    <s v="37/2017"/>
    <d v="2018-06-08T00:00:00"/>
    <x v="3"/>
    <s v="HOSPITAL VETERINÁRIO"/>
    <n v="93"/>
    <x v="42"/>
    <n v="700"/>
    <n v="2.3199999999999998"/>
    <x v="0"/>
    <x v="9"/>
    <n v="700"/>
    <n v="1624"/>
    <m/>
    <m/>
    <m/>
    <m/>
    <x v="4"/>
  </r>
  <r>
    <s v="23083.001631/2017-25"/>
    <s v="37/2017"/>
    <d v="2018-06-08T00:00:00"/>
    <x v="3"/>
    <s v="HOSPITAL VETERINÁRIO"/>
    <n v="100"/>
    <x v="47"/>
    <n v="50"/>
    <n v="2.2999999999999998"/>
    <x v="0"/>
    <x v="8"/>
    <n v="50"/>
    <n v="114.99999999999999"/>
    <s v="Entrega em 01/03/2018"/>
    <s v="Papeleta 140/2018"/>
    <m/>
    <m/>
    <x v="0"/>
  </r>
  <r>
    <s v="23083.001631/2017-25"/>
    <s v="37/2017"/>
    <d v="2018-06-08T00:00:00"/>
    <x v="3"/>
    <s v="HOSPITAL VETERINÁRIO"/>
    <n v="108"/>
    <x v="34"/>
    <n v="30"/>
    <n v="5.04"/>
    <x v="0"/>
    <x v="7"/>
    <n v="30"/>
    <n v="151.19999999999999"/>
    <s v="Entrega em 09/04/2018 e 24/04/2018"/>
    <s v="NF/ 9145 e 9382"/>
    <m/>
    <m/>
    <x v="0"/>
  </r>
  <r>
    <s v="23083.001631/2017-25"/>
    <s v="37/2017"/>
    <d v="2018-06-08T00:00:00"/>
    <x v="3"/>
    <s v="HOSPITAL VETERINÁRIO"/>
    <n v="79"/>
    <x v="20"/>
    <n v="120"/>
    <n v="3.69"/>
    <x v="0"/>
    <x v="7"/>
    <n v="120"/>
    <n v="442.8"/>
    <s v="Entrega em 09/04/2018 e 24/04/2018"/>
    <s v="NF/ 9145 e 9382"/>
    <m/>
    <m/>
    <x v="0"/>
  </r>
  <r>
    <s v="23083.001631/2017-25"/>
    <s v="37/2017"/>
    <d v="2018-06-08T00:00:00"/>
    <x v="3"/>
    <s v="HOSPITAL VETERINÁRIO"/>
    <n v="41"/>
    <x v="48"/>
    <n v="50"/>
    <n v="1.1399999999999999"/>
    <x v="0"/>
    <x v="7"/>
    <n v="50"/>
    <n v="56.999999999999993"/>
    <s v="Entrega em 09/04/2018 e 24/04/2018"/>
    <s v="NF/ 9145 e 9382"/>
    <m/>
    <m/>
    <x v="0"/>
  </r>
  <r>
    <s v="23083.001631/2017-25"/>
    <s v="37/2017"/>
    <d v="2018-06-08T00:00:00"/>
    <x v="3"/>
    <s v="HOSPITAL VETERINÁRIO"/>
    <n v="58"/>
    <x v="43"/>
    <n v="50"/>
    <n v="4"/>
    <x v="0"/>
    <x v="5"/>
    <n v="50"/>
    <n v="200"/>
    <d v="2017-11-07T00:00:00"/>
    <s v="NF 1936"/>
    <m/>
    <m/>
    <x v="0"/>
  </r>
  <r>
    <s v="23083.001631/2017-25"/>
    <s v="37/2017"/>
    <d v="2018-06-08T00:00:00"/>
    <x v="3"/>
    <s v="HOSPITAL VETERINÁRIO"/>
    <n v="74"/>
    <x v="49"/>
    <n v="50"/>
    <n v="46.44"/>
    <x v="0"/>
    <x v="10"/>
    <n v="50"/>
    <n v="2322"/>
    <d v="2017-11-22T00:00:00"/>
    <s v="Papeleta 673/2017"/>
    <m/>
    <m/>
    <x v="0"/>
  </r>
  <r>
    <s v="23083.001631/2017-25"/>
    <s v="37/2017"/>
    <d v="2018-06-08T00:00:00"/>
    <x v="3"/>
    <s v="HOSPITAL VETERINÁRIO"/>
    <n v="85"/>
    <x v="50"/>
    <n v="120"/>
    <n v="3.5"/>
    <x v="0"/>
    <x v="9"/>
    <n v="120"/>
    <n v="420"/>
    <m/>
    <m/>
    <m/>
    <m/>
    <x v="4"/>
  </r>
  <r>
    <s v="23083.001631/2017-25"/>
    <s v="37/2017"/>
    <d v="2018-06-08T00:00:00"/>
    <x v="3"/>
    <s v="HOSPITAL VETERINÁRIO"/>
    <n v="86"/>
    <x v="51"/>
    <n v="200"/>
    <n v="3.23"/>
    <x v="0"/>
    <x v="7"/>
    <n v="200"/>
    <n v="646"/>
    <s v="Entrega em 09/04/2018 e 24/04/2018"/>
    <s v="NF/ 9145 e 9382"/>
    <m/>
    <m/>
    <x v="0"/>
  </r>
  <r>
    <s v="23083.001631/2017-25"/>
    <s v="37/2017"/>
    <d v="2018-06-08T00:00:00"/>
    <x v="3"/>
    <s v="HOSPITAL VETERINÁRIO"/>
    <n v="116"/>
    <x v="52"/>
    <n v="300"/>
    <n v="1.45"/>
    <x v="0"/>
    <x v="7"/>
    <n v="300"/>
    <n v="435"/>
    <s v="Entrega em 09/04/2018 e 24/04/2018"/>
    <s v="NF/ 9145 e 9382"/>
    <m/>
    <m/>
    <x v="0"/>
  </r>
  <r>
    <s v="23083.001631/2017-25"/>
    <s v="37/2017"/>
    <d v="2018-06-08T00:00:00"/>
    <x v="3"/>
    <s v="HOSPITAL VETERINÁRIO"/>
    <n v="51"/>
    <x v="53"/>
    <n v="10"/>
    <n v="5.61"/>
    <x v="0"/>
    <x v="7"/>
    <n v="10"/>
    <n v="56.1"/>
    <s v="Entrega em 09/04/2018 e 24/04/2018"/>
    <s v="NF/ 9145 e 9382"/>
    <m/>
    <m/>
    <x v="0"/>
  </r>
  <r>
    <s v="23083.001631/2017-25"/>
    <s v="37/2017"/>
    <d v="2018-06-08T00:00:00"/>
    <x v="3"/>
    <s v="HOSPITAL VETERINÁRIO"/>
    <n v="69"/>
    <x v="40"/>
    <n v="25"/>
    <n v="5"/>
    <x v="0"/>
    <x v="6"/>
    <n v="25"/>
    <n v="125"/>
    <s v="Vencido em 24/11/2017"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s v="23083.001631/2017-25"/>
    <s v="37/2017"/>
    <d v="2018-06-08T00:00:00"/>
    <x v="0"/>
    <s v="POSTO MÉDICO"/>
    <n v="11"/>
    <x v="0"/>
    <n v="50"/>
    <n v="6"/>
    <x v="0"/>
    <x v="0"/>
    <n v="50"/>
    <n v="300"/>
    <s v="28/12/2017 e 13/03/2018"/>
    <s v="Papeleta 141/2018"/>
    <m/>
    <m/>
    <x v="0"/>
  </r>
  <r>
    <s v="23083.001631/2017-25"/>
    <s v="37/2017"/>
    <d v="2018-06-08T00:00:00"/>
    <x v="0"/>
    <s v="POSTO MÉDICO"/>
    <n v="12"/>
    <x v="1"/>
    <n v="50"/>
    <n v="74.8"/>
    <x v="0"/>
    <x v="0"/>
    <n v="50"/>
    <n v="3740"/>
    <s v="28/12/2017 e 13/03/2018"/>
    <s v="Papeleta 141/2018"/>
    <n v="0"/>
    <s v=" "/>
    <x v="0"/>
  </r>
  <r>
    <s v="23083.001631/2017-25"/>
    <s v="37/2017"/>
    <d v="2018-06-08T00:00:00"/>
    <x v="0"/>
    <s v="POSTO MÉDICO"/>
    <n v="15"/>
    <x v="2"/>
    <n v="1000"/>
    <n v="0.7"/>
    <x v="0"/>
    <x v="1"/>
    <n v="1000"/>
    <n v="700"/>
    <s v="Entrega em 09/04/2018"/>
    <s v="Papeleta 168/2018"/>
    <m/>
    <m/>
    <x v="0"/>
  </r>
  <r>
    <s v="23083.001631/2017-25"/>
    <s v="37/2017"/>
    <d v="2018-06-08T00:00:00"/>
    <x v="0"/>
    <s v="POSTO MÉDICO"/>
    <n v="20"/>
    <x v="3"/>
    <n v="15"/>
    <n v="1.61"/>
    <x v="0"/>
    <x v="1"/>
    <n v="15"/>
    <n v="24.150000000000002"/>
    <s v="Entrega em 09/04/2018"/>
    <s v="Papeleta 168/2018"/>
    <m/>
    <m/>
    <x v="0"/>
  </r>
  <r>
    <s v="23083.001631/2017-25"/>
    <s v="37/2017"/>
    <d v="2018-06-08T00:00:00"/>
    <x v="0"/>
    <s v="POSTO MÉDICO"/>
    <n v="19"/>
    <x v="4"/>
    <n v="50"/>
    <n v="1.19"/>
    <x v="0"/>
    <x v="0"/>
    <n v="50"/>
    <n v="59.5"/>
    <s v="28/12/2017 e 13/03/2018"/>
    <s v="Papeleta 141/2018"/>
    <m/>
    <m/>
    <x v="0"/>
  </r>
  <r>
    <s v="23083.001631/2017-25"/>
    <s v="37/2017"/>
    <d v="2018-06-08T00:00:00"/>
    <x v="0"/>
    <s v="POSTO MÉDICO"/>
    <n v="23"/>
    <x v="5"/>
    <n v="72"/>
    <n v="4.2"/>
    <x v="0"/>
    <x v="2"/>
    <n v="72"/>
    <n v="302.40000000000003"/>
    <m/>
    <m/>
    <m/>
    <m/>
    <x v="1"/>
  </r>
  <r>
    <s v="23083.001631/2017-25"/>
    <s v="37/2017"/>
    <d v="2018-06-08T00:00:00"/>
    <x v="0"/>
    <s v="POSTO MÉDICO"/>
    <n v="24"/>
    <x v="6"/>
    <n v="25"/>
    <n v="44.92"/>
    <x v="0"/>
    <x v="1"/>
    <n v="25"/>
    <n v="1123"/>
    <s v="Entrega em 09/04/2018"/>
    <s v="Papeleta 168/2018"/>
    <m/>
    <m/>
    <x v="0"/>
  </r>
  <r>
    <s v="23083.001631/2017-25"/>
    <s v="37/2017"/>
    <d v="2018-06-08T00:00:00"/>
    <x v="0"/>
    <s v="POSTO MÉDICO"/>
    <n v="25"/>
    <x v="7"/>
    <n v="100"/>
    <n v="0.81"/>
    <x v="0"/>
    <x v="0"/>
    <n v="100"/>
    <n v="81"/>
    <s v="28/12/2017 e 13/03/2018"/>
    <s v="Papeleta 141/2018"/>
    <m/>
    <m/>
    <x v="0"/>
  </r>
  <r>
    <s v="23083.001631/2017-25"/>
    <s v="37/2017"/>
    <d v="2018-06-08T00:00:00"/>
    <x v="0"/>
    <s v="POSTO MÉDICO"/>
    <n v="26"/>
    <x v="8"/>
    <n v="10"/>
    <n v="0.55000000000000004"/>
    <x v="0"/>
    <x v="0"/>
    <n v="10"/>
    <n v="5.5"/>
    <s v="28/12/2017 e 13/03/2018"/>
    <s v="Papeleta 141/2018"/>
    <m/>
    <m/>
    <x v="0"/>
  </r>
  <r>
    <s v="23083.001631/2017-25"/>
    <s v="37/2017"/>
    <d v="2018-06-08T00:00:00"/>
    <x v="0"/>
    <s v="POSTO MÉDICO"/>
    <n v="32"/>
    <x v="9"/>
    <n v="2"/>
    <n v="18"/>
    <x v="0"/>
    <x v="0"/>
    <n v="2"/>
    <n v="36"/>
    <s v="28/12/2017 e 13/03/2018"/>
    <s v="Papeleta 141/2018"/>
    <m/>
    <m/>
    <x v="0"/>
  </r>
  <r>
    <s v="23083.001631/2017-25"/>
    <s v="37/2017"/>
    <d v="2018-06-08T00:00:00"/>
    <x v="0"/>
    <s v="POSTO MÉDICO"/>
    <n v="39"/>
    <x v="10"/>
    <n v="50"/>
    <n v="1"/>
    <x v="0"/>
    <x v="2"/>
    <n v="50"/>
    <n v="50"/>
    <m/>
    <m/>
    <m/>
    <m/>
    <x v="1"/>
  </r>
  <r>
    <s v="23083.001631/2017-25"/>
    <s v="37/2017"/>
    <d v="2018-06-08T00:00:00"/>
    <x v="0"/>
    <s v="POSTO MÉDICO"/>
    <n v="49"/>
    <x v="11"/>
    <n v="50"/>
    <n v="1.42"/>
    <x v="0"/>
    <x v="2"/>
    <n v="50"/>
    <n v="71"/>
    <m/>
    <m/>
    <m/>
    <m/>
    <x v="1"/>
  </r>
  <r>
    <s v="23083.001631/2017-25"/>
    <s v="37/2017"/>
    <d v="2018-06-08T00:00:00"/>
    <x v="0"/>
    <s v="POSTO MÉDICO"/>
    <n v="52"/>
    <x v="12"/>
    <n v="20"/>
    <n v="3.5"/>
    <x v="0"/>
    <x v="3"/>
    <n v="20"/>
    <n v="70"/>
    <d v="2017-11-07T00:00:00"/>
    <s v="Papeleta 637/2017"/>
    <m/>
    <m/>
    <x v="0"/>
  </r>
  <r>
    <s v="23083.001631/2017-25"/>
    <s v="37/2017"/>
    <d v="2018-06-08T00:00:00"/>
    <x v="0"/>
    <s v="POSTO MÉDICO"/>
    <n v="62"/>
    <x v="13"/>
    <n v="100"/>
    <n v="0.73"/>
    <x v="0"/>
    <x v="1"/>
    <n v="100"/>
    <n v="73"/>
    <s v="Entrega em 09/04/2018"/>
    <s v="Papeleta 168/2018"/>
    <m/>
    <m/>
    <x v="0"/>
  </r>
  <r>
    <s v="23083.001631/2017-25"/>
    <s v="37/2017"/>
    <d v="2018-06-08T00:00:00"/>
    <x v="0"/>
    <s v="POSTO MÉDICO"/>
    <n v="54"/>
    <x v="14"/>
    <n v="150"/>
    <n v="1.4"/>
    <x v="0"/>
    <x v="3"/>
    <n v="150"/>
    <n v="210"/>
    <d v="2017-11-07T00:00:00"/>
    <s v="Papeleta 637/2017"/>
    <m/>
    <m/>
    <x v="0"/>
  </r>
  <r>
    <s v="23083.001631/2017-25"/>
    <s v="37/2017"/>
    <d v="2018-06-08T00:00:00"/>
    <x v="0"/>
    <s v="POSTO MÉDICO"/>
    <n v="64"/>
    <x v="15"/>
    <n v="200"/>
    <n v="0.43"/>
    <x v="0"/>
    <x v="3"/>
    <n v="200"/>
    <n v="86"/>
    <d v="2017-11-07T00:00:00"/>
    <s v="Papeleta 637/2017"/>
    <m/>
    <m/>
    <x v="0"/>
  </r>
  <r>
    <s v="23083.001631/2017-25"/>
    <s v="37/2017"/>
    <d v="2018-06-08T00:00:00"/>
    <x v="0"/>
    <s v="POSTO MÉDICO"/>
    <n v="65"/>
    <x v="16"/>
    <n v="200"/>
    <n v="6.5"/>
    <x v="0"/>
    <x v="3"/>
    <n v="200"/>
    <n v="1300"/>
    <d v="2017-11-07T00:00:00"/>
    <s v="Papeleta 637/2017"/>
    <m/>
    <m/>
    <x v="0"/>
  </r>
  <r>
    <s v="23083.001631/2017-25"/>
    <s v="37/2017"/>
    <d v="2018-06-08T00:00:00"/>
    <x v="0"/>
    <s v="POSTO MÉDICO"/>
    <n v="73"/>
    <x v="17"/>
    <n v="10"/>
    <n v="1.07"/>
    <x v="0"/>
    <x v="1"/>
    <n v="10"/>
    <n v="10.700000000000001"/>
    <s v="Entrega em 09/04/2018"/>
    <s v="Papeleta 168/2018"/>
    <m/>
    <m/>
    <x v="0"/>
  </r>
  <r>
    <s v="23083.001631/2017-25"/>
    <s v="37/2017"/>
    <d v="2018-06-08T00:00:00"/>
    <x v="0"/>
    <s v="POSTO MÉDICO"/>
    <n v="76"/>
    <x v="18"/>
    <n v="100"/>
    <n v="20"/>
    <x v="0"/>
    <x v="0"/>
    <n v="100"/>
    <n v="2000"/>
    <s v="28/12/2017 e 13/03/2018"/>
    <s v="Papeleta 141/2018"/>
    <m/>
    <m/>
    <x v="0"/>
  </r>
  <r>
    <s v="23083.001631/2017-25"/>
    <s v="37/2017"/>
    <d v="2018-06-08T00:00:00"/>
    <x v="0"/>
    <s v="POSTO MÉDICO"/>
    <n v="77"/>
    <x v="19"/>
    <n v="10"/>
    <n v="2.09"/>
    <x v="0"/>
    <x v="2"/>
    <n v="10"/>
    <n v="20.9"/>
    <m/>
    <m/>
    <m/>
    <m/>
    <x v="1"/>
  </r>
  <r>
    <s v="23083.001631/2017-25"/>
    <s v="37/2017"/>
    <d v="2018-06-08T00:00:00"/>
    <x v="0"/>
    <s v="POSTO MÉDICO"/>
    <n v="78"/>
    <x v="20"/>
    <n v="100"/>
    <n v="1.96"/>
    <x v="0"/>
    <x v="1"/>
    <n v="100"/>
    <n v="196"/>
    <s v="Entrega em 09/04/2018"/>
    <s v="Papeleta 168/2018"/>
    <m/>
    <m/>
    <x v="0"/>
  </r>
  <r>
    <s v="23083.001631/2017-25"/>
    <s v="37/2017"/>
    <d v="2018-06-08T00:00:00"/>
    <x v="0"/>
    <s v="POSTO MÉDICO"/>
    <n v="90"/>
    <x v="21"/>
    <n v="50"/>
    <n v="2.62"/>
    <x v="0"/>
    <x v="1"/>
    <n v="50"/>
    <n v="131"/>
    <s v="Entrega em 09/04/2018"/>
    <s v="Papeleta 168/2018"/>
    <m/>
    <m/>
    <x v="0"/>
  </r>
  <r>
    <s v="23083.001631/2017-25"/>
    <s v="37/2017"/>
    <d v="2018-06-08T00:00:00"/>
    <x v="0"/>
    <s v="POSTO MÉDICO"/>
    <n v="92"/>
    <x v="22"/>
    <n v="18"/>
    <n v="5.85"/>
    <x v="0"/>
    <x v="1"/>
    <n v="18"/>
    <n v="105.3"/>
    <s v="Entrega em 09/04/2018"/>
    <s v="Papeleta 168/2018"/>
    <m/>
    <m/>
    <x v="0"/>
  </r>
  <r>
    <s v="23083.001631/2017-25"/>
    <s v="37/2017"/>
    <d v="2018-06-08T00:00:00"/>
    <x v="0"/>
    <s v="POSTO MÉDICO"/>
    <n v="94"/>
    <x v="23"/>
    <n v="75"/>
    <n v="3.56"/>
    <x v="0"/>
    <x v="2"/>
    <n v="75"/>
    <n v="267"/>
    <m/>
    <m/>
    <m/>
    <m/>
    <x v="1"/>
  </r>
  <r>
    <s v="23083.001631/2017-25"/>
    <s v="37/2017"/>
    <d v="2018-06-08T00:00:00"/>
    <x v="0"/>
    <s v="POSTO MÉDICO"/>
    <n v="95"/>
    <x v="24"/>
    <n v="10"/>
    <n v="3.58"/>
    <x v="0"/>
    <x v="0"/>
    <n v="10"/>
    <n v="35.799999999999997"/>
    <s v="28/12/2017 e 13/03/2018"/>
    <s v="Papeleta 141/2018"/>
    <m/>
    <m/>
    <x v="0"/>
  </r>
  <r>
    <s v="23083.001631/2017-25"/>
    <s v="37/2017"/>
    <d v="2018-06-08T00:00:00"/>
    <x v="0"/>
    <s v="POSTO MÉDICO"/>
    <n v="96"/>
    <x v="25"/>
    <n v="50"/>
    <n v="7.5"/>
    <x v="0"/>
    <x v="0"/>
    <n v="50"/>
    <n v="375"/>
    <s v="28/12/2017 e 13/03/2018"/>
    <s v="Papeleta 141/2018"/>
    <m/>
    <m/>
    <x v="0"/>
  </r>
  <r>
    <s v="23083.001631/2017-25"/>
    <s v="37/2017"/>
    <d v="2018-06-08T00:00:00"/>
    <x v="0"/>
    <s v="POSTO MÉDICO"/>
    <n v="102"/>
    <x v="26"/>
    <n v="2"/>
    <n v="3.67"/>
    <x v="0"/>
    <x v="2"/>
    <n v="2"/>
    <n v="7.34"/>
    <m/>
    <m/>
    <m/>
    <m/>
    <x v="1"/>
  </r>
  <r>
    <s v="23083.001631/2017-25"/>
    <s v="37/2017"/>
    <d v="2018-06-08T00:00:00"/>
    <x v="0"/>
    <s v="POSTO MÉDICO"/>
    <n v="103"/>
    <x v="27"/>
    <n v="200"/>
    <n v="1.25"/>
    <x v="0"/>
    <x v="1"/>
    <n v="200"/>
    <n v="250"/>
    <s v="Entrega em 09/04/2018"/>
    <s v="Papeleta 168/2018"/>
    <m/>
    <m/>
    <x v="0"/>
  </r>
  <r>
    <s v="23083.001631/2017-25"/>
    <s v="37/2017"/>
    <d v="2018-06-08T00:00:00"/>
    <x v="0"/>
    <s v="POSTO MÉDICO"/>
    <n v="106"/>
    <x v="28"/>
    <n v="500"/>
    <n v="0.88"/>
    <x v="0"/>
    <x v="2"/>
    <n v="500"/>
    <n v="440"/>
    <m/>
    <m/>
    <m/>
    <m/>
    <x v="1"/>
  </r>
  <r>
    <s v="23083.001631/2017-25"/>
    <s v="37/2017"/>
    <d v="2018-06-08T00:00:00"/>
    <x v="0"/>
    <s v="POSTO MÉDICO"/>
    <n v="110"/>
    <x v="29"/>
    <n v="50"/>
    <n v="14.51"/>
    <x v="0"/>
    <x v="2"/>
    <n v="50"/>
    <n v="725.5"/>
    <m/>
    <m/>
    <m/>
    <m/>
    <x v="1"/>
  </r>
  <r>
    <s v="23083.001631/2017-25"/>
    <s v="37/2017"/>
    <d v="2018-06-08T00:00:00"/>
    <x v="0"/>
    <s v="POSTO MÉDICO"/>
    <n v="111"/>
    <x v="30"/>
    <n v="100"/>
    <n v="5.08"/>
    <x v="0"/>
    <x v="2"/>
    <n v="100"/>
    <n v="508"/>
    <m/>
    <m/>
    <m/>
    <m/>
    <x v="1"/>
  </r>
  <r>
    <s v="23083.001631/2017-25"/>
    <s v="37/2017"/>
    <d v="2018-06-08T00:00:00"/>
    <x v="0"/>
    <s v="POSTO MÉDICO"/>
    <n v="121"/>
    <x v="31"/>
    <n v="5"/>
    <n v="12.5"/>
    <x v="0"/>
    <x v="1"/>
    <n v="5"/>
    <n v="62.5"/>
    <s v="Entrega em 09/04/2018"/>
    <s v="Papeleta 168/2018"/>
    <m/>
    <m/>
    <x v="0"/>
  </r>
  <r>
    <s v="23083.001631/2017-25"/>
    <s v="37/2017"/>
    <d v="2018-06-08T00:00:00"/>
    <x v="0"/>
    <s v="POSTO MÉDICO"/>
    <n v="125"/>
    <x v="32"/>
    <n v="60"/>
    <n v="21"/>
    <x v="0"/>
    <x v="4"/>
    <n v="60"/>
    <n v="1260"/>
    <d v="2017-11-08T00:00:00"/>
    <s v="Papeleta 636/2017"/>
    <m/>
    <m/>
    <x v="0"/>
  </r>
  <r>
    <s v="23083.001631/2017-25"/>
    <s v="37/2017"/>
    <d v="2018-06-08T00:00:00"/>
    <x v="1"/>
    <s v="COORDENADORIA DE DESENVOLVIMENTO DA PRODUÇÃO"/>
    <n v="29"/>
    <x v="7"/>
    <n v="100"/>
    <n v="6.56"/>
    <x v="0"/>
    <x v="5"/>
    <n v="100"/>
    <n v="656"/>
    <d v="2017-11-07T00:00:00"/>
    <s v="NF 1936"/>
    <m/>
    <m/>
    <x v="0"/>
  </r>
  <r>
    <s v="23083.001631/2017-25"/>
    <s v="37/2017"/>
    <d v="2018-06-08T00:00:00"/>
    <x v="1"/>
    <s v="COORDENADORIA DE DESENVOLVIMENTO DA PRODUÇÃO"/>
    <n v="61"/>
    <x v="33"/>
    <n v="20"/>
    <n v="9"/>
    <x v="0"/>
    <x v="6"/>
    <n v="20"/>
    <n v="180"/>
    <s v="Vencido em 24/11/2017"/>
    <m/>
    <m/>
    <m/>
    <x v="2"/>
  </r>
  <r>
    <s v="23083.001631/2017-25"/>
    <s v="37/2017"/>
    <d v="2018-06-08T00:00:00"/>
    <x v="1"/>
    <s v="COORDENADORIA DE DESENVOLVIMENTO DA PRODUÇÃO"/>
    <n v="79"/>
    <x v="20"/>
    <n v="60"/>
    <n v="3.69"/>
    <x v="0"/>
    <x v="7"/>
    <n v="60"/>
    <n v="221.4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08"/>
    <x v="34"/>
    <n v="40"/>
    <n v="5.04"/>
    <x v="0"/>
    <x v="7"/>
    <n v="40"/>
    <n v="201.6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14"/>
    <x v="35"/>
    <n v="30"/>
    <n v="8.1300000000000008"/>
    <x v="0"/>
    <x v="7"/>
    <n v="30"/>
    <n v="243.90000000000003"/>
    <s v="Entrega em 09/04/2018 e 24/04/2018"/>
    <s v="NF/ 9145 e 9382"/>
    <m/>
    <m/>
    <x v="0"/>
  </r>
  <r>
    <s v="23083.001631/2017-25"/>
    <s v="37/2017"/>
    <d v="2018-06-08T00:00:00"/>
    <x v="2"/>
    <s v="DEPARTAMENTO DE CIÊNCIAS FISIOLÓGICAS"/>
    <n v="7"/>
    <x v="36"/>
    <n v="50"/>
    <n v="0.32"/>
    <x v="0"/>
    <x v="8"/>
    <n v="50"/>
    <n v="16"/>
    <s v="Entrega em 01/03/2018"/>
    <s v="Papeleta 140/2018"/>
    <m/>
    <m/>
    <x v="0"/>
  </r>
  <r>
    <s v="23083.001631/2017-25"/>
    <s v="37/2017"/>
    <d v="2018-06-08T00:00:00"/>
    <x v="2"/>
    <s v="DEPARTAMENTO DE CIÊNCIAS FISIOLÓGICAS"/>
    <n v="48"/>
    <x v="37"/>
    <n v="20"/>
    <n v="0.75"/>
    <x v="0"/>
    <x v="5"/>
    <n v="20"/>
    <n v="15"/>
    <d v="2017-11-07T00:00:00"/>
    <s v="Papeleta 158/2018"/>
    <m/>
    <m/>
    <x v="3"/>
  </r>
  <r>
    <s v="23083.001631/2017-25"/>
    <s v="37/2017"/>
    <d v="2018-06-08T00:00:00"/>
    <x v="2"/>
    <s v="DEPARTAMENTO DE CIÊNCIAS FISIOLÓGICAS"/>
    <n v="55"/>
    <x v="38"/>
    <n v="24"/>
    <n v="15.75"/>
    <x v="0"/>
    <x v="9"/>
    <n v="24"/>
    <n v="378"/>
    <m/>
    <m/>
    <m/>
    <m/>
    <x v="4"/>
  </r>
  <r>
    <s v="23083.001631/2017-25"/>
    <s v="37/2017"/>
    <d v="2018-06-08T00:00:00"/>
    <x v="2"/>
    <s v="DEPARTAMENTO DE CIÊNCIAS FISIOLÓGICAS"/>
    <n v="67"/>
    <x v="39"/>
    <n v="48"/>
    <n v="2.6"/>
    <x v="0"/>
    <x v="9"/>
    <n v="48"/>
    <n v="124.80000000000001"/>
    <m/>
    <m/>
    <m/>
    <m/>
    <x v="4"/>
  </r>
  <r>
    <s v="23083.001631/2017-25"/>
    <s v="37/2017"/>
    <d v="2018-06-08T00:00:00"/>
    <x v="2"/>
    <s v="DEPARTAMENTO DE CIÊNCIAS FISIOLÓGICAS"/>
    <n v="69"/>
    <x v="40"/>
    <n v="60"/>
    <n v="5"/>
    <x v="0"/>
    <x v="6"/>
    <n v="60"/>
    <n v="300"/>
    <s v="Vencido em 24/11/2017"/>
    <m/>
    <m/>
    <m/>
    <x v="2"/>
  </r>
  <r>
    <s v="23083.001631/2017-25"/>
    <s v="37/2017"/>
    <d v="2018-06-08T00:00:00"/>
    <x v="2"/>
    <s v="DEPARTAMENTO DE CIÊNCIAS FISIOLÓGICAS"/>
    <n v="89"/>
    <x v="41"/>
    <n v="30"/>
    <n v="6.1"/>
    <x v="0"/>
    <x v="5"/>
    <n v="30"/>
    <n v="183"/>
    <d v="2017-11-07T00:00:00"/>
    <s v="NF 1936"/>
    <m/>
    <m/>
    <x v="0"/>
  </r>
  <r>
    <s v="23083.001631/2017-25"/>
    <s v="37/2017"/>
    <d v="2018-06-08T00:00:00"/>
    <x v="2"/>
    <s v="DEPARTAMENTO DE CIÊNCIAS FISIOLÓGICAS"/>
    <n v="93"/>
    <x v="42"/>
    <n v="12"/>
    <n v="2.3199999999999998"/>
    <x v="0"/>
    <x v="9"/>
    <n v="12"/>
    <n v="27.839999999999996"/>
    <m/>
    <m/>
    <m/>
    <m/>
    <x v="4"/>
  </r>
  <r>
    <s v="23083.001631/2017-25"/>
    <s v="37/2017"/>
    <d v="2018-06-08T00:00:00"/>
    <x v="2"/>
    <s v="DEPARTAMENTO DE CIÊNCIAS FISIOLÓGICAS"/>
    <n v="58"/>
    <x v="43"/>
    <n v="30"/>
    <n v="4"/>
    <x v="0"/>
    <x v="5"/>
    <n v="30"/>
    <n v="120"/>
    <d v="2017-11-07T00:00:00"/>
    <s v="NF 1936"/>
    <m/>
    <m/>
    <x v="0"/>
  </r>
  <r>
    <s v="23083.001631/2017-25"/>
    <s v="37/2017"/>
    <d v="2018-06-08T00:00:00"/>
    <x v="3"/>
    <s v="HOSPITAL VETERINÁRIO"/>
    <n v="26"/>
    <x v="8"/>
    <n v="200"/>
    <n v="0.55000000000000004"/>
    <x v="0"/>
    <x v="8"/>
    <n v="200"/>
    <n v="110.00000000000001"/>
    <s v="Entrega em 01/03/2018"/>
    <s v="Papeleta 140/2018"/>
    <m/>
    <m/>
    <x v="0"/>
  </r>
  <r>
    <s v="23083.001631/2017-25"/>
    <s v="37/2017"/>
    <d v="2018-06-08T00:00:00"/>
    <x v="3"/>
    <s v="HOSPITAL VETERINÁRIO"/>
    <n v="39"/>
    <x v="10"/>
    <n v="40"/>
    <n v="1"/>
    <x v="0"/>
    <x v="9"/>
    <n v="40"/>
    <n v="40"/>
    <m/>
    <m/>
    <m/>
    <m/>
    <x v="4"/>
  </r>
  <r>
    <s v="23083.001631/2017-25"/>
    <s v="37/2017"/>
    <d v="2018-06-08T00:00:00"/>
    <x v="3"/>
    <s v="HOSPITAL VETERINÁRIO"/>
    <n v="38"/>
    <x v="44"/>
    <n v="100"/>
    <n v="0.97"/>
    <x v="0"/>
    <x v="7"/>
    <n v="100"/>
    <n v="97"/>
    <s v="Entrega em 09/04/2018 e 24/04/2018"/>
    <s v="NF/ 9145 e 9382"/>
    <m/>
    <m/>
    <x v="0"/>
  </r>
  <r>
    <s v="23083.001631/2017-25"/>
    <s v="37/2017"/>
    <d v="2018-06-08T00:00:00"/>
    <x v="3"/>
    <s v="HOSPITAL VETERINÁRIO"/>
    <n v="48"/>
    <x v="37"/>
    <n v="500"/>
    <n v="0.75"/>
    <x v="0"/>
    <x v="5"/>
    <n v="500"/>
    <n v="375"/>
    <d v="2017-11-07T00:00:00"/>
    <s v="Papeleta 158/2018"/>
    <m/>
    <m/>
    <x v="3"/>
  </r>
  <r>
    <s v="23083.001631/2017-25"/>
    <s v="37/2017"/>
    <d v="2018-06-08T00:00:00"/>
    <x v="3"/>
    <s v="HOSPITAL VETERINÁRIO"/>
    <n v="52"/>
    <x v="12"/>
    <n v="100"/>
    <n v="3.5"/>
    <x v="0"/>
    <x v="5"/>
    <n v="100"/>
    <n v="350"/>
    <d v="2017-11-07T00:00:00"/>
    <s v="NF 1936"/>
    <m/>
    <m/>
    <x v="0"/>
  </r>
  <r>
    <s v="23083.001631/2017-25"/>
    <s v="37/2017"/>
    <d v="2018-06-08T00:00:00"/>
    <x v="3"/>
    <s v="HOSPITAL VETERINÁRIO"/>
    <n v="54"/>
    <x v="14"/>
    <n v="100"/>
    <n v="1.4"/>
    <x v="0"/>
    <x v="5"/>
    <n v="100"/>
    <n v="140"/>
    <d v="2017-11-07T00:00:00"/>
    <s v="NF 1936"/>
    <m/>
    <m/>
    <x v="0"/>
  </r>
  <r>
    <s v="23083.001631/2017-25"/>
    <s v="37/2017"/>
    <d v="2018-06-08T00:00:00"/>
    <x v="3"/>
    <s v="HOSPITAL VETERINÁRIO"/>
    <n v="61"/>
    <x v="33"/>
    <n v="10"/>
    <n v="9"/>
    <x v="0"/>
    <x v="6"/>
    <n v="10"/>
    <n v="90"/>
    <s v="Vencido em 24/11/2017"/>
    <m/>
    <m/>
    <m/>
    <x v="2"/>
  </r>
  <r>
    <s v="23083.001631/2017-25"/>
    <s v="37/2017"/>
    <d v="2018-06-08T00:00:00"/>
    <x v="3"/>
    <s v="HOSPITAL VETERINÁRIO"/>
    <n v="62"/>
    <x v="13"/>
    <n v="100"/>
    <n v="0.73"/>
    <x v="0"/>
    <x v="7"/>
    <n v="100"/>
    <n v="73"/>
    <s v="Entrega em 09/04/2018 e 24/04/2018"/>
    <s v="NF/ 9145 e 9382"/>
    <m/>
    <m/>
    <x v="0"/>
  </r>
  <r>
    <s v="23083.001631/2017-25"/>
    <s v="37/2017"/>
    <d v="2018-06-08T00:00:00"/>
    <x v="3"/>
    <s v="HOSPITAL VETERINÁRIO"/>
    <n v="64"/>
    <x v="15"/>
    <n v="100"/>
    <n v="0.43"/>
    <x v="0"/>
    <x v="5"/>
    <n v="100"/>
    <n v="43"/>
    <d v="2017-11-07T00:00:00"/>
    <s v="NF 1936"/>
    <m/>
    <m/>
    <x v="0"/>
  </r>
  <r>
    <s v="23083.001631/2017-25"/>
    <s v="37/2017"/>
    <d v="2018-06-08T00:00:00"/>
    <x v="3"/>
    <s v="HOSPITAL VETERINÁRIO"/>
    <n v="66"/>
    <x v="45"/>
    <n v="10"/>
    <n v="2.98"/>
    <x v="0"/>
    <x v="8"/>
    <n v="10"/>
    <n v="29.8"/>
    <s v="Entrega em 01/03/2018"/>
    <s v="Papeleta 140/2018"/>
    <m/>
    <m/>
    <x v="0"/>
  </r>
  <r>
    <s v="23083.001631/2017-25"/>
    <s v="37/2017"/>
    <d v="2018-06-08T00:00:00"/>
    <x v="3"/>
    <s v="HOSPITAL VETERINÁRIO"/>
    <n v="83"/>
    <x v="46"/>
    <n v="100"/>
    <n v="0.55000000000000004"/>
    <x v="0"/>
    <x v="7"/>
    <n v="100"/>
    <n v="55.000000000000007"/>
    <s v="Entrega em 09/04/2018 e 24/04/2018"/>
    <s v="NF/ 9145 e 9382"/>
    <m/>
    <m/>
    <x v="0"/>
  </r>
  <r>
    <s v="23083.001631/2017-25"/>
    <s v="37/2017"/>
    <d v="2018-06-08T00:00:00"/>
    <x v="3"/>
    <s v="HOSPITAL VETERINÁRIO"/>
    <n v="93"/>
    <x v="42"/>
    <n v="700"/>
    <n v="2.3199999999999998"/>
    <x v="0"/>
    <x v="9"/>
    <n v="700"/>
    <n v="1624"/>
    <m/>
    <m/>
    <m/>
    <m/>
    <x v="4"/>
  </r>
  <r>
    <s v="23083.001631/2017-25"/>
    <s v="37/2017"/>
    <d v="2018-06-08T00:00:00"/>
    <x v="3"/>
    <s v="HOSPITAL VETERINÁRIO"/>
    <n v="100"/>
    <x v="47"/>
    <n v="50"/>
    <n v="2.2999999999999998"/>
    <x v="0"/>
    <x v="8"/>
    <n v="50"/>
    <n v="114.99999999999999"/>
    <s v="Entrega em 01/03/2018"/>
    <s v="Papeleta 140/2018"/>
    <m/>
    <m/>
    <x v="0"/>
  </r>
  <r>
    <s v="23083.001631/2017-25"/>
    <s v="37/2017"/>
    <d v="2018-06-08T00:00:00"/>
    <x v="3"/>
    <s v="HOSPITAL VETERINÁRIO"/>
    <n v="108"/>
    <x v="34"/>
    <n v="30"/>
    <n v="5.04"/>
    <x v="0"/>
    <x v="7"/>
    <n v="30"/>
    <n v="151.19999999999999"/>
    <s v="Entrega em 09/04/2018 e 24/04/2018"/>
    <s v="NF/ 9145 e 9382"/>
    <m/>
    <m/>
    <x v="0"/>
  </r>
  <r>
    <s v="23083.001631/2017-25"/>
    <s v="37/2017"/>
    <d v="2018-06-08T00:00:00"/>
    <x v="3"/>
    <s v="HOSPITAL VETERINÁRIO"/>
    <n v="79"/>
    <x v="20"/>
    <n v="120"/>
    <n v="3.69"/>
    <x v="0"/>
    <x v="7"/>
    <n v="120"/>
    <n v="442.8"/>
    <s v="Entrega em 09/04/2018 e 24/04/2018"/>
    <s v="NF/ 9145 e 9382"/>
    <m/>
    <m/>
    <x v="0"/>
  </r>
  <r>
    <s v="23083.001631/2017-25"/>
    <s v="37/2017"/>
    <d v="2018-06-08T00:00:00"/>
    <x v="3"/>
    <s v="HOSPITAL VETERINÁRIO"/>
    <n v="41"/>
    <x v="48"/>
    <n v="50"/>
    <n v="1.1399999999999999"/>
    <x v="0"/>
    <x v="7"/>
    <n v="50"/>
    <n v="56.999999999999993"/>
    <s v="Entrega em 09/04/2018 e 24/04/2018"/>
    <s v="NF/ 9145 e 9382"/>
    <m/>
    <m/>
    <x v="0"/>
  </r>
  <r>
    <s v="23083.001631/2017-25"/>
    <s v="37/2017"/>
    <d v="2018-06-08T00:00:00"/>
    <x v="3"/>
    <s v="HOSPITAL VETERINÁRIO"/>
    <n v="58"/>
    <x v="43"/>
    <n v="50"/>
    <n v="4"/>
    <x v="0"/>
    <x v="5"/>
    <n v="50"/>
    <n v="200"/>
    <d v="2017-11-07T00:00:00"/>
    <s v="NF 1936"/>
    <m/>
    <m/>
    <x v="0"/>
  </r>
  <r>
    <s v="23083.001631/2017-25"/>
    <s v="37/2017"/>
    <d v="2018-06-08T00:00:00"/>
    <x v="3"/>
    <s v="HOSPITAL VETERINÁRIO"/>
    <n v="74"/>
    <x v="49"/>
    <n v="50"/>
    <n v="46.44"/>
    <x v="0"/>
    <x v="10"/>
    <n v="50"/>
    <n v="2322"/>
    <d v="2017-11-22T00:00:00"/>
    <s v="Papeleta 673/2017"/>
    <m/>
    <m/>
    <x v="0"/>
  </r>
  <r>
    <s v="23083.001631/2017-25"/>
    <s v="37/2017"/>
    <d v="2018-06-08T00:00:00"/>
    <x v="3"/>
    <s v="HOSPITAL VETERINÁRIO"/>
    <n v="85"/>
    <x v="50"/>
    <n v="120"/>
    <n v="3.5"/>
    <x v="0"/>
    <x v="9"/>
    <n v="120"/>
    <n v="420"/>
    <m/>
    <m/>
    <m/>
    <m/>
    <x v="4"/>
  </r>
  <r>
    <s v="23083.001631/2017-25"/>
    <s v="37/2017"/>
    <d v="2018-06-08T00:00:00"/>
    <x v="3"/>
    <s v="HOSPITAL VETERINÁRIO"/>
    <n v="86"/>
    <x v="51"/>
    <n v="200"/>
    <n v="3.23"/>
    <x v="0"/>
    <x v="7"/>
    <n v="200"/>
    <n v="646"/>
    <s v="Entrega em 09/04/2018 e 24/04/2018"/>
    <s v="NF/ 9145 e 9382"/>
    <m/>
    <m/>
    <x v="0"/>
  </r>
  <r>
    <s v="23083.001631/2017-25"/>
    <s v="37/2017"/>
    <d v="2018-06-08T00:00:00"/>
    <x v="3"/>
    <s v="HOSPITAL VETERINÁRIO"/>
    <n v="116"/>
    <x v="52"/>
    <n v="300"/>
    <n v="1.45"/>
    <x v="0"/>
    <x v="7"/>
    <n v="300"/>
    <n v="435"/>
    <s v="Entrega em 09/04/2018 e 24/04/2018"/>
    <s v="NF/ 9145 e 9382"/>
    <m/>
    <m/>
    <x v="0"/>
  </r>
  <r>
    <s v="23083.001631/2017-25"/>
    <s v="37/2017"/>
    <d v="2018-06-08T00:00:00"/>
    <x v="3"/>
    <s v="HOSPITAL VETERINÁRIO"/>
    <n v="51"/>
    <x v="53"/>
    <n v="10"/>
    <n v="5.61"/>
    <x v="0"/>
    <x v="7"/>
    <n v="10"/>
    <n v="56.1"/>
    <s v="Entrega em 09/04/2018 e 24/04/2018"/>
    <s v="NF/ 9145 e 9382"/>
    <m/>
    <m/>
    <x v="0"/>
  </r>
  <r>
    <s v="23083.001631/2017-25"/>
    <s v="37/2017"/>
    <d v="2018-06-08T00:00:00"/>
    <x v="3"/>
    <s v="HOSPITAL VETERINÁRIO"/>
    <n v="69"/>
    <x v="40"/>
    <n v="25"/>
    <n v="5"/>
    <x v="0"/>
    <x v="6"/>
    <n v="25"/>
    <n v="125"/>
    <s v="Vencido em 24/11/2017"/>
    <m/>
    <m/>
    <m/>
    <x v="2"/>
  </r>
  <r>
    <s v="23083.001631/2017-25"/>
    <s v="37/2017"/>
    <d v="2018-06-08T00:00:00"/>
    <x v="4"/>
    <e v="#N/A"/>
    <m/>
    <x v="54"/>
    <m/>
    <e v="#N/A"/>
    <x v="1"/>
    <x v="11"/>
    <m/>
    <e v="#N/A"/>
    <m/>
    <m/>
    <m/>
    <m/>
    <x v="5"/>
  </r>
  <r>
    <s v="23083.001631/2017-25"/>
    <s v="37/2017"/>
    <d v="2018-06-08T00:00:00"/>
    <x v="0"/>
    <s v="POSTO MÉDICO"/>
    <n v="2"/>
    <x v="55"/>
    <n v="18"/>
    <n v="9.99"/>
    <x v="2"/>
    <x v="12"/>
    <n v="18"/>
    <n v="179.82"/>
    <s v="18/07/2018 e 07/08/2018"/>
    <s v="Papeleta 305/2018"/>
    <m/>
    <m/>
    <x v="0"/>
  </r>
  <r>
    <s v="23083.001631/2017-25"/>
    <s v="37/2017"/>
    <d v="2018-06-08T00:00:00"/>
    <x v="0"/>
    <s v="POSTO MÉDICO"/>
    <n v="5"/>
    <x v="56"/>
    <n v="4"/>
    <n v="8.9600000000000009"/>
    <x v="2"/>
    <x v="12"/>
    <n v="4"/>
    <n v="35.840000000000003"/>
    <s v="18/07/2018 e 07/08/2018"/>
    <s v="Papeleta 305/2018"/>
    <m/>
    <m/>
    <x v="0"/>
  </r>
  <r>
    <s v="23083.001631/2017-25"/>
    <s v="37/2017"/>
    <d v="2018-06-08T00:00:00"/>
    <x v="0"/>
    <s v="POSTO MÉDICO"/>
    <n v="7"/>
    <x v="36"/>
    <n v="1500"/>
    <n v="0.32"/>
    <x v="2"/>
    <x v="12"/>
    <n v="1500"/>
    <n v="480"/>
    <s v="18/07/2018 e 07/08/2018"/>
    <s v="Papeleta 305/2018"/>
    <m/>
    <m/>
    <x v="0"/>
  </r>
  <r>
    <s v="23083.001631/2017-25"/>
    <s v="37/2017"/>
    <d v="2018-06-08T00:00:00"/>
    <x v="0"/>
    <s v="POSTO MÉDICO"/>
    <n v="9"/>
    <x v="57"/>
    <n v="50"/>
    <n v="1.2"/>
    <x v="2"/>
    <x v="12"/>
    <n v="50"/>
    <n v="60"/>
    <s v="18/07/2018 e 07/08/2018"/>
    <s v="Papeleta 305/2018"/>
    <m/>
    <m/>
    <x v="0"/>
  </r>
  <r>
    <s v="23083.001631/2017-25"/>
    <s v="37/2017"/>
    <d v="2018-06-08T00:00:00"/>
    <x v="0"/>
    <s v="POSTO MÉDICO"/>
    <n v="10"/>
    <x v="58"/>
    <n v="20"/>
    <n v="2.0099999999999998"/>
    <x v="2"/>
    <x v="12"/>
    <n v="20"/>
    <n v="40.199999999999996"/>
    <s v="18/07/2018 e 07/08/2018"/>
    <s v="Papeleta 305/2018"/>
    <m/>
    <m/>
    <x v="0"/>
  </r>
  <r>
    <s v="23083.001631/2017-25"/>
    <s v="37/2017"/>
    <d v="2018-06-08T00:00:00"/>
    <x v="0"/>
    <s v="POSTO MÉDICO"/>
    <n v="19"/>
    <x v="4"/>
    <n v="250"/>
    <n v="1.19"/>
    <x v="2"/>
    <x v="12"/>
    <n v="250"/>
    <n v="297.5"/>
    <s v="18/07/2018 e 07/08/2018"/>
    <s v="Papeleta 305/2018"/>
    <m/>
    <m/>
    <x v="0"/>
  </r>
  <r>
    <s v="23083.001631/2017-25"/>
    <s v="37/2017"/>
    <d v="2018-06-08T00:00:00"/>
    <x v="0"/>
    <s v="POSTO MÉDICO"/>
    <n v="20"/>
    <x v="3"/>
    <n v="10"/>
    <n v="1.61"/>
    <x v="2"/>
    <x v="12"/>
    <n v="10"/>
    <n v="16.100000000000001"/>
    <s v="18/07/2018 e 07/08/2018"/>
    <s v="Papeleta 305/2018"/>
    <m/>
    <m/>
    <x v="0"/>
  </r>
  <r>
    <s v="23083.001631/2017-25"/>
    <s v="37/2017"/>
    <d v="2018-06-08T00:00:00"/>
    <x v="0"/>
    <s v="POSTO MÉDICO"/>
    <n v="25"/>
    <x v="7"/>
    <n v="50"/>
    <n v="0.81"/>
    <x v="2"/>
    <x v="12"/>
    <n v="50"/>
    <n v="40.5"/>
    <s v="18/07/2018 e 07/08/2018"/>
    <s v="Papeleta 305/2018"/>
    <m/>
    <m/>
    <x v="0"/>
  </r>
  <r>
    <s v="23083.001631/2017-25"/>
    <s v="37/2017"/>
    <d v="2018-06-08T00:00:00"/>
    <x v="0"/>
    <s v="POSTO MÉDICO"/>
    <n v="26"/>
    <x v="8"/>
    <n v="10"/>
    <n v="0.55000000000000004"/>
    <x v="2"/>
    <x v="12"/>
    <n v="10"/>
    <n v="5.5"/>
    <s v="18/07/2018 e 07/08/2018"/>
    <s v="Papeleta 305/2018"/>
    <m/>
    <m/>
    <x v="0"/>
  </r>
  <r>
    <s v="23083.001631/2017-25"/>
    <s v="37/2017"/>
    <d v="2018-06-08T00:00:00"/>
    <x v="0"/>
    <s v="POSTO MÉDICO"/>
    <n v="32"/>
    <x v="9"/>
    <n v="6"/>
    <n v="18"/>
    <x v="2"/>
    <x v="12"/>
    <n v="6"/>
    <n v="108"/>
    <s v="18/07/2018 e 07/08/2018"/>
    <s v="Papeleta 305/2018"/>
    <m/>
    <m/>
    <x v="0"/>
  </r>
  <r>
    <s v="23083.001631/2017-25"/>
    <s v="37/2017"/>
    <d v="2018-06-08T00:00:00"/>
    <x v="0"/>
    <s v="POSTO MÉDICO"/>
    <n v="37"/>
    <x v="59"/>
    <n v="25"/>
    <n v="2.16"/>
    <x v="2"/>
    <x v="12"/>
    <n v="25"/>
    <n v="54"/>
    <s v="18/07/2018 e 07/08/2018"/>
    <s v="Papeleta 305/2018"/>
    <m/>
    <m/>
    <x v="0"/>
  </r>
  <r>
    <s v="23083.001631/2017-25"/>
    <s v="37/2017"/>
    <d v="2018-06-08T00:00:00"/>
    <x v="0"/>
    <s v="POSTO MÉDICO"/>
    <n v="38"/>
    <x v="44"/>
    <n v="200"/>
    <n v="0.97"/>
    <x v="2"/>
    <x v="12"/>
    <n v="200"/>
    <n v="194"/>
    <s v="18/07/2018 e 07/08/2018"/>
    <s v="Papeleta 305/2018"/>
    <m/>
    <m/>
    <x v="0"/>
  </r>
  <r>
    <s v="23083.001631/2017-25"/>
    <s v="37/2017"/>
    <d v="2018-06-08T00:00:00"/>
    <x v="0"/>
    <s v="POSTO MÉDICO"/>
    <n v="41"/>
    <x v="48"/>
    <n v="50"/>
    <n v="1.1399999999999999"/>
    <x v="2"/>
    <x v="12"/>
    <n v="50"/>
    <n v="56.999999999999993"/>
    <s v="18/07/2018 e 07/08/2018"/>
    <s v="Papeleta 305/2018"/>
    <m/>
    <m/>
    <x v="0"/>
  </r>
  <r>
    <s v="23083.001631/2017-25"/>
    <s v="37/2017"/>
    <d v="2018-06-08T00:00:00"/>
    <x v="0"/>
    <s v="POSTO MÉDICO"/>
    <n v="46"/>
    <x v="60"/>
    <n v="1000"/>
    <n v="0.6"/>
    <x v="2"/>
    <x v="12"/>
    <n v="1000"/>
    <n v="600"/>
    <s v="18/07/2018 e 07/08/2018"/>
    <s v="Papeleta 305/2018"/>
    <m/>
    <m/>
    <x v="0"/>
  </r>
  <r>
    <s v="23083.001631/2017-25"/>
    <s v="37/2017"/>
    <d v="2018-06-08T00:00:00"/>
    <x v="0"/>
    <s v="POSTO MÉDICO"/>
    <n v="48"/>
    <x v="37"/>
    <n v="1650"/>
    <n v="0.75"/>
    <x v="2"/>
    <x v="12"/>
    <n v="1650"/>
    <n v="1237.5"/>
    <s v="18/07/2018 e 07/08/2018"/>
    <s v="Papeleta 305/2018"/>
    <m/>
    <m/>
    <x v="0"/>
  </r>
  <r>
    <s v="23083.001631/2017-25"/>
    <s v="37/2017"/>
    <d v="2018-06-08T00:00:00"/>
    <x v="0"/>
    <s v="POSTO MÉDICO"/>
    <n v="50"/>
    <x v="61"/>
    <n v="10"/>
    <n v="1.77"/>
    <x v="2"/>
    <x v="12"/>
    <n v="10"/>
    <n v="17.7"/>
    <s v="18/07/2018 e 07/08/2018"/>
    <s v="Papeleta 305/2018"/>
    <m/>
    <m/>
    <x v="0"/>
  </r>
  <r>
    <s v="23083.001631/2017-25"/>
    <s v="37/2017"/>
    <d v="2018-06-08T00:00:00"/>
    <x v="0"/>
    <s v="POSTO MÉDICO"/>
    <n v="52"/>
    <x v="12"/>
    <n v="20"/>
    <n v="3.5"/>
    <x v="2"/>
    <x v="12"/>
    <n v="20"/>
    <n v="70"/>
    <s v="18/07/2018 e 07/08/2018"/>
    <s v="Papeleta 305/2018"/>
    <m/>
    <m/>
    <x v="0"/>
  </r>
  <r>
    <s v="23083.001631/2017-25"/>
    <s v="37/2017"/>
    <d v="2018-06-08T00:00:00"/>
    <x v="0"/>
    <s v="POSTO MÉDICO"/>
    <n v="54"/>
    <x v="14"/>
    <n v="250"/>
    <n v="1.4"/>
    <x v="2"/>
    <x v="12"/>
    <n v="250"/>
    <n v="350"/>
    <s v="18/07/2018 e 07/08/2018"/>
    <s v="Papeleta 305/2018"/>
    <m/>
    <m/>
    <x v="0"/>
  </r>
  <r>
    <s v="23083.001631/2017-25"/>
    <s v="37/2017"/>
    <d v="2018-06-08T00:00:00"/>
    <x v="0"/>
    <s v="POSTO MÉDICO"/>
    <n v="60"/>
    <x v="62"/>
    <n v="10"/>
    <n v="3.43"/>
    <x v="2"/>
    <x v="12"/>
    <n v="10"/>
    <n v="34.300000000000004"/>
    <s v="18/07/2018 e 07/08/2018"/>
    <s v="Papeleta 305/2018"/>
    <m/>
    <m/>
    <x v="0"/>
  </r>
  <r>
    <s v="23083.001631/2017-25"/>
    <s v="37/2017"/>
    <d v="2018-06-08T00:00:00"/>
    <x v="0"/>
    <s v="POSTO MÉDICO"/>
    <n v="64"/>
    <x v="15"/>
    <n v="400"/>
    <n v="0.43"/>
    <x v="2"/>
    <x v="12"/>
    <n v="400"/>
    <n v="172"/>
    <s v="18/07/2018 e 07/08/2018"/>
    <s v="Papeleta 305/2018"/>
    <m/>
    <m/>
    <x v="0"/>
  </r>
  <r>
    <s v="23083.001631/2017-25"/>
    <s v="37/2017"/>
    <d v="2018-06-08T00:00:00"/>
    <x v="0"/>
    <s v="POSTO MÉDICO"/>
    <n v="68"/>
    <x v="63"/>
    <n v="10"/>
    <n v="14.59"/>
    <x v="2"/>
    <x v="12"/>
    <n v="10"/>
    <n v="145.9"/>
    <s v="18/07/2018 e 07/08/2018"/>
    <s v="Papeleta 305/2018"/>
    <m/>
    <m/>
    <x v="0"/>
  </r>
  <r>
    <s v="23083.001631/2017-25"/>
    <s v="37/2017"/>
    <d v="2018-06-08T00:00:00"/>
    <x v="0"/>
    <s v="POSTO MÉDICO"/>
    <n v="70"/>
    <x v="64"/>
    <n v="100"/>
    <n v="5.84"/>
    <x v="2"/>
    <x v="12"/>
    <n v="100"/>
    <n v="584"/>
    <s v="18/07/2018 e 07/08/2018"/>
    <s v="Papeleta 305/2018"/>
    <m/>
    <m/>
    <x v="0"/>
  </r>
  <r>
    <s v="23083.001631/2017-25"/>
    <s v="37/2017"/>
    <d v="2018-06-08T00:00:00"/>
    <x v="0"/>
    <s v="POSTO MÉDICO"/>
    <n v="73"/>
    <x v="17"/>
    <n v="50"/>
    <n v="1.07"/>
    <x v="2"/>
    <x v="12"/>
    <n v="50"/>
    <n v="53.5"/>
    <s v="18/07/2018 e 07/08/2018"/>
    <s v="Papeleta 305/2018"/>
    <m/>
    <m/>
    <x v="0"/>
  </r>
  <r>
    <s v="23083.001631/2017-25"/>
    <s v="37/2017"/>
    <d v="2018-06-08T00:00:00"/>
    <x v="0"/>
    <s v="POSTO MÉDICO"/>
    <n v="75"/>
    <x v="65"/>
    <n v="50"/>
    <n v="0.46"/>
    <x v="2"/>
    <x v="12"/>
    <n v="50"/>
    <n v="23"/>
    <s v="18/07/2018 e 07/08/2018"/>
    <s v="Papeleta 305/2018"/>
    <m/>
    <m/>
    <x v="0"/>
  </r>
  <r>
    <s v="23083.001631/2017-25"/>
    <s v="37/2017"/>
    <d v="2018-06-08T00:00:00"/>
    <x v="0"/>
    <s v="POSTO MÉDICO"/>
    <n v="78"/>
    <x v="20"/>
    <n v="100"/>
    <n v="1.96"/>
    <x v="2"/>
    <x v="12"/>
    <n v="100"/>
    <n v="196"/>
    <s v="18/07/2018 e 07/08/2018"/>
    <s v="Papeleta 305/2018"/>
    <m/>
    <m/>
    <x v="0"/>
  </r>
  <r>
    <s v="23083.001631/2017-25"/>
    <s v="37/2017"/>
    <d v="2018-06-08T00:00:00"/>
    <x v="0"/>
    <s v="POSTO MÉDICO"/>
    <n v="83"/>
    <x v="46"/>
    <n v="600"/>
    <n v="0.55000000000000004"/>
    <x v="2"/>
    <x v="12"/>
    <n v="600"/>
    <n v="330"/>
    <s v="18/07/2018 e 07/08/2018"/>
    <s v="Papeleta 305/2018"/>
    <m/>
    <m/>
    <x v="0"/>
  </r>
  <r>
    <s v="23083.001631/2017-25"/>
    <s v="37/2017"/>
    <d v="2018-06-08T00:00:00"/>
    <x v="0"/>
    <s v="POSTO MÉDICO"/>
    <n v="86"/>
    <x v="51"/>
    <n v="20"/>
    <n v="3.23"/>
    <x v="2"/>
    <x v="12"/>
    <n v="20"/>
    <n v="64.599999999999994"/>
    <s v="18/07/2018 e 07/08/2018"/>
    <s v="Papeleta 305/2018"/>
    <m/>
    <m/>
    <x v="0"/>
  </r>
  <r>
    <s v="23083.001631/2017-25"/>
    <s v="37/2017"/>
    <d v="2018-06-08T00:00:00"/>
    <x v="0"/>
    <s v="POSTO MÉDICO"/>
    <n v="92"/>
    <x v="22"/>
    <n v="7"/>
    <n v="5.85"/>
    <x v="2"/>
    <x v="12"/>
    <n v="7"/>
    <n v="40.949999999999996"/>
    <s v="18/07/2018 e 07/08/2018"/>
    <s v="Papeleta 305/2018"/>
    <m/>
    <m/>
    <x v="0"/>
  </r>
  <r>
    <s v="23083.001631/2017-25"/>
    <s v="37/2017"/>
    <d v="2018-06-08T00:00:00"/>
    <x v="0"/>
    <s v="POSTO MÉDICO"/>
    <n v="96"/>
    <x v="25"/>
    <n v="50"/>
    <n v="7.5"/>
    <x v="2"/>
    <x v="12"/>
    <n v="50"/>
    <n v="375"/>
    <s v="18/07/2018 e 07/08/2018"/>
    <s v="Papeleta 305/2018"/>
    <m/>
    <m/>
    <x v="0"/>
  </r>
  <r>
    <s v="23083.001631/2017-25"/>
    <s v="37/2017"/>
    <d v="2018-06-08T00:00:00"/>
    <x v="0"/>
    <s v="POSTO MÉDICO"/>
    <n v="100"/>
    <x v="47"/>
    <n v="300"/>
    <n v="2.2999999999999998"/>
    <x v="2"/>
    <x v="12"/>
    <n v="300"/>
    <n v="690"/>
    <s v="18/07/2018 e 07/08/2018"/>
    <s v="Papeleta 305/2018"/>
    <m/>
    <m/>
    <x v="0"/>
  </r>
  <r>
    <s v="23083.001631/2017-25"/>
    <s v="37/2017"/>
    <d v="2018-06-08T00:00:00"/>
    <x v="0"/>
    <s v="POSTO MÉDICO"/>
    <n v="103"/>
    <x v="27"/>
    <n v="200"/>
    <n v="1.25"/>
    <x v="2"/>
    <x v="12"/>
    <n v="200"/>
    <n v="250"/>
    <s v="18/07/2018 e 07/08/2018"/>
    <s v="Papeleta 305/2018"/>
    <m/>
    <m/>
    <x v="0"/>
  </r>
  <r>
    <s v="23083.001631/2017-25"/>
    <s v="37/2017"/>
    <d v="2018-06-08T00:00:00"/>
    <x v="0"/>
    <s v="POSTO MÉDICO"/>
    <n v="108"/>
    <x v="34"/>
    <n v="30"/>
    <n v="5.04"/>
    <x v="2"/>
    <x v="12"/>
    <n v="30"/>
    <n v="151.19999999999999"/>
    <s v="18/07/2018 e 07/08/2018"/>
    <s v="Papeleta 305/2018"/>
    <m/>
    <m/>
    <x v="0"/>
  </r>
  <r>
    <s v="23083.001631/2017-25"/>
    <s v="37/2017"/>
    <d v="2018-06-08T00:00:00"/>
    <x v="0"/>
    <s v="POSTO MÉDICO"/>
    <n v="117"/>
    <x v="66"/>
    <n v="50"/>
    <n v="2.44"/>
    <x v="2"/>
    <x v="12"/>
    <n v="50"/>
    <n v="122"/>
    <s v="18/07/2018 e 07/08/2018"/>
    <s v="Papeleta 305/2018"/>
    <m/>
    <m/>
    <x v="0"/>
  </r>
  <r>
    <s v="23083.001631/2017-25"/>
    <s v="37/2017"/>
    <d v="2018-06-08T00:00:00"/>
    <x v="0"/>
    <s v="POSTO MÉDICO"/>
    <n v="121"/>
    <x v="31"/>
    <n v="10"/>
    <n v="12.5"/>
    <x v="2"/>
    <x v="12"/>
    <n v="10"/>
    <n v="125"/>
    <s v="18/07/2018 e 07/08/2018"/>
    <s v="Papeleta 305/2018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2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68">
    <i>
      <x/>
      <x v="12"/>
      <x/>
      <x v="2"/>
    </i>
    <i>
      <x v="1"/>
      <x v="2"/>
      <x/>
      <x/>
    </i>
    <i>
      <x v="2"/>
      <x v="2"/>
      <x/>
      <x/>
    </i>
    <i>
      <x v="3"/>
      <x v="3"/>
      <x/>
      <x/>
    </i>
    <i>
      <x v="4"/>
      <x v="2"/>
      <x/>
      <x/>
    </i>
    <i r="1">
      <x v="12"/>
      <x/>
      <x v="2"/>
    </i>
    <i>
      <x v="5"/>
      <x v="3"/>
      <x/>
      <x/>
    </i>
    <i r="1">
      <x v="12"/>
      <x/>
      <x v="2"/>
    </i>
    <i>
      <x v="6"/>
      <x v="3"/>
      <x/>
      <x/>
    </i>
    <i>
      <x v="7"/>
      <x v="1"/>
      <x v="1"/>
      <x/>
    </i>
    <i>
      <x v="8"/>
      <x v="2"/>
      <x/>
      <x/>
    </i>
    <i r="1">
      <x v="12"/>
      <x/>
      <x v="2"/>
    </i>
    <i>
      <x v="9"/>
      <x v="2"/>
      <x/>
      <x/>
    </i>
    <i r="1">
      <x v="12"/>
      <x/>
      <x v="2"/>
    </i>
    <i>
      <x v="10"/>
      <x v="2"/>
      <x/>
      <x/>
    </i>
    <i r="1">
      <x v="12"/>
      <x/>
      <x v="2"/>
    </i>
    <i>
      <x v="11"/>
      <x v="1"/>
      <x v="1"/>
      <x/>
    </i>
    <i>
      <x v="12"/>
      <x v="12"/>
      <x/>
      <x v="2"/>
    </i>
    <i>
      <x v="13"/>
      <x v="12"/>
      <x/>
      <x v="2"/>
    </i>
    <i>
      <x v="14"/>
      <x v="12"/>
      <x/>
      <x v="2"/>
    </i>
    <i>
      <x v="15"/>
      <x v="1"/>
      <x v="1"/>
      <x/>
    </i>
    <i>
      <x v="17"/>
      <x v="4"/>
      <x/>
      <x/>
    </i>
    <i r="1">
      <x v="12"/>
      <x/>
      <x v="2"/>
    </i>
    <i>
      <x v="18"/>
      <x v="4"/>
      <x/>
      <x/>
    </i>
    <i r="1">
      <x v="12"/>
      <x/>
      <x v="2"/>
    </i>
    <i>
      <x v="22"/>
      <x v="3"/>
      <x/>
      <x/>
    </i>
    <i>
      <x v="24"/>
      <x v="4"/>
      <x/>
      <x/>
    </i>
    <i r="1">
      <x v="12"/>
      <x/>
      <x v="2"/>
    </i>
    <i>
      <x v="25"/>
      <x v="4"/>
      <x/>
      <x/>
    </i>
    <i>
      <x v="28"/>
      <x v="3"/>
      <x/>
      <x/>
    </i>
    <i r="1">
      <x v="12"/>
      <x/>
      <x v="2"/>
    </i>
    <i>
      <x v="30"/>
      <x v="2"/>
      <x/>
      <x/>
    </i>
    <i>
      <x v="31"/>
      <x v="1"/>
      <x v="1"/>
      <x/>
    </i>
    <i>
      <x v="32"/>
      <x v="3"/>
      <x/>
      <x/>
    </i>
    <i r="1">
      <x v="12"/>
      <x/>
      <x v="2"/>
    </i>
    <i>
      <x v="33"/>
      <x/>
      <x/>
      <x/>
    </i>
    <i>
      <x v="34"/>
      <x v="12"/>
      <x/>
      <x v="2"/>
    </i>
    <i>
      <x v="36"/>
      <x v="12"/>
      <x/>
      <x v="2"/>
    </i>
    <i>
      <x v="38"/>
      <x v="3"/>
      <x/>
      <x/>
    </i>
    <i>
      <x v="39"/>
      <x v="3"/>
      <x/>
      <x/>
    </i>
    <i r="1">
      <x v="12"/>
      <x/>
      <x v="2"/>
    </i>
    <i>
      <x v="41"/>
      <x v="1"/>
      <x v="1"/>
      <x/>
    </i>
    <i>
      <x v="42"/>
      <x v="2"/>
      <x/>
      <x/>
    </i>
    <i>
      <x v="43"/>
      <x v="2"/>
      <x/>
      <x/>
    </i>
    <i r="1">
      <x v="12"/>
      <x/>
      <x v="2"/>
    </i>
    <i>
      <x v="44"/>
      <x v="12"/>
      <x/>
      <x v="2"/>
    </i>
    <i>
      <x v="45"/>
      <x v="1"/>
      <x v="1"/>
      <x/>
    </i>
    <i>
      <x v="46"/>
      <x v="3"/>
      <x/>
      <x/>
    </i>
    <i r="1">
      <x v="12"/>
      <x/>
      <x v="2"/>
    </i>
    <i>
      <x v="47"/>
      <x v="1"/>
      <x v="1"/>
      <x/>
    </i>
    <i>
      <x v="48"/>
      <x v="3"/>
      <x/>
      <x/>
    </i>
    <i r="1">
      <x v="12"/>
      <x/>
      <x v="2"/>
    </i>
    <i>
      <x v="49"/>
      <x v="12"/>
      <x/>
      <x v="2"/>
    </i>
    <i>
      <x v="50"/>
      <x v="1"/>
      <x v="1"/>
      <x/>
    </i>
    <i>
      <x v="51"/>
      <x v="1"/>
      <x v="1"/>
      <x/>
    </i>
    <i>
      <x v="55"/>
      <x v="12"/>
      <x/>
      <x v="2"/>
    </i>
    <i>
      <x v="56"/>
      <x v="12"/>
      <x/>
      <x v="2"/>
    </i>
    <i>
      <x v="57"/>
      <x v="12"/>
      <x/>
      <x v="2"/>
    </i>
    <i>
      <x v="58"/>
      <x v="12"/>
      <x/>
      <x v="2"/>
    </i>
    <i>
      <x v="59"/>
      <x v="12"/>
      <x/>
      <x v="2"/>
    </i>
    <i>
      <x v="60"/>
      <x v="12"/>
      <x/>
      <x v="2"/>
    </i>
    <i>
      <x v="61"/>
      <x v="12"/>
      <x/>
      <x v="2"/>
    </i>
    <i>
      <x v="62"/>
      <x v="12"/>
      <x/>
      <x v="2"/>
    </i>
    <i>
      <x v="63"/>
      <x v="12"/>
      <x/>
      <x v="2"/>
    </i>
    <i>
      <x v="64"/>
      <x v="12"/>
      <x/>
      <x v="2"/>
    </i>
    <i>
      <x v="65"/>
      <x v="12"/>
      <x/>
      <x v="2"/>
    </i>
    <i>
      <x v="66"/>
      <x v="12"/>
      <x/>
      <x v="2"/>
    </i>
    <i t="grand">
      <x/>
    </i>
  </rowItems>
  <colItems count="1">
    <i/>
  </colItems>
  <pageFields count="1">
    <pageField fld="3" item="0" hier="-1"/>
  </pageFields>
  <dataFields count="1">
    <dataField name=" VALOR " fld="12" baseField="14" baseItem="1" numFmtId="44"/>
  </dataFields>
  <formats count="34"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grandRow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grandRow="1" outline="0" fieldPosition="0"/>
    </format>
    <format dxfId="131">
      <pivotArea outline="0" collapsedLevelsAreSubtotals="1" fieldPosition="0"/>
    </format>
    <format dxfId="130">
      <pivotArea dataOnly="0" labelOnly="1" grandRow="1" outline="0" fieldPosition="0"/>
    </format>
    <format dxfId="129">
      <pivotArea dataOnly="0" labelOnly="1" grandRow="1" outline="0" fieldPosition="0"/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dataOnly="0" labelOnly="1" grandRow="1" outline="0" fieldPosition="0"/>
    </format>
    <format dxfId="123">
      <pivotArea field="9" type="button" dataOnly="0" labelOnly="1" outline="0" axis="axisRow" fieldPosition="3"/>
    </format>
    <format dxfId="122">
      <pivotArea field="9" type="button" dataOnly="0" labelOnly="1" outline="0" axis="axisRow" fieldPosition="3"/>
    </format>
    <format dxfId="121">
      <pivotArea field="9" type="button" dataOnly="0" labelOnly="1" outline="0" axis="axisRow" fieldPosition="3"/>
    </format>
    <format dxfId="120">
      <pivotArea grandRow="1" outline="0" collapsedLevelsAreSubtotals="1" fieldPosition="0"/>
    </format>
    <format dxfId="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8">
      <pivotArea type="all" dataOnly="0" outline="0" fieldPosition="0"/>
    </format>
    <format dxfId="117">
      <pivotArea dataOnly="0" labelOnly="1" grandRow="1" outline="0" fieldPosition="0"/>
    </format>
    <format dxfId="116">
      <pivotArea type="all" dataOnly="0" outline="0" fieldPosition="0"/>
    </format>
    <format dxfId="115">
      <pivotArea dataOnly="0" labelOnly="1" grandRow="1" outline="0" fieldPosition="0"/>
    </format>
    <format dxfId="114">
      <pivotArea grandRow="1" outline="0" collapsedLevelsAreSubtotals="1" fieldPosition="0"/>
    </format>
    <format dxfId="113">
      <pivotArea dataOnly="0" labelOnly="1" grandRow="1" outline="0" offset="IV256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6">
    <i>
      <x v="10"/>
      <x v="10"/>
      <x/>
      <x/>
    </i>
    <i>
      <x v="21"/>
      <x v="5"/>
      <x v="3"/>
      <x/>
    </i>
    <i>
      <x v="32"/>
      <x v="8"/>
      <x/>
      <x/>
    </i>
    <i>
      <x v="49"/>
      <x v="8"/>
      <x/>
      <x/>
    </i>
    <i>
      <x v="52"/>
      <x v="8"/>
      <x/>
      <x/>
    </i>
    <i t="grand">
      <x/>
    </i>
  </rowItems>
  <colItems count="1">
    <i/>
  </colItems>
  <pageFields count="1">
    <pageField fld="3" item="2" hier="-1"/>
  </pageFields>
  <dataFields count="1">
    <dataField name=" VALOR " fld="12" baseField="14" baseItem="1" numFmtId="44"/>
  </dataFields>
  <formats count="34">
    <format dxfId="103">
      <pivotArea type="all" dataOnly="0" outline="0" fieldPosition="0"/>
    </format>
    <format dxfId="102">
      <pivotArea outline="0" collapsedLevelsAreSubtotals="1" fieldPosition="0"/>
    </format>
    <format dxfId="101">
      <pivotArea dataOnly="0" labelOnly="1" grandRow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dataOnly="0" labelOnly="1" grandRow="1" outline="0" fieldPosition="0"/>
    </format>
    <format dxfId="97">
      <pivotArea outline="0" collapsedLevelsAreSubtotals="1" fieldPosition="0"/>
    </format>
    <format dxfId="96">
      <pivotArea dataOnly="0" labelOnly="1" grandRow="1" outline="0" fieldPosition="0"/>
    </format>
    <format dxfId="95">
      <pivotArea dataOnly="0" labelOnly="1" grandRow="1" outline="0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grandRow="1" outline="0" fieldPosition="0"/>
    </format>
    <format dxfId="89">
      <pivotArea field="9" type="button" dataOnly="0" labelOnly="1" outline="0" axis="axisRow" fieldPosition="3"/>
    </format>
    <format dxfId="88">
      <pivotArea field="9" type="button" dataOnly="0" labelOnly="1" outline="0" axis="axisRow" fieldPosition="3"/>
    </format>
    <format dxfId="87">
      <pivotArea field="9" type="button" dataOnly="0" labelOnly="1" outline="0" axis="axisRow" fieldPosition="3"/>
    </format>
    <format dxfId="86">
      <pivotArea grandRow="1" outline="0" collapsedLevelsAreSubtotals="1" fieldPosition="0"/>
    </format>
    <format dxfId="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">
      <pivotArea type="all" dataOnly="0" outline="0" fieldPosition="0"/>
    </format>
    <format dxfId="83">
      <pivotArea dataOnly="0" labelOnly="1" grandRow="1" outline="0" fieldPosition="0"/>
    </format>
    <format dxfId="82">
      <pivotArea type="all" dataOnly="0" outline="0" fieldPosition="0"/>
    </format>
    <format dxfId="81">
      <pivotArea dataOnly="0" labelOnly="1" grandRow="1" outline="0" fieldPosition="0"/>
    </format>
    <format dxfId="80">
      <pivotArea grandRow="1" outline="0" collapsedLevelsAreSubtotals="1" fieldPosition="0"/>
    </format>
    <format dxfId="79">
      <pivotArea dataOnly="0" labelOnly="1" grandRow="1" outline="0" offset="IV256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3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9">
    <i>
      <x/>
      <x v="7"/>
      <x/>
      <x/>
    </i>
    <i>
      <x v="14"/>
      <x v="10"/>
      <x v="4"/>
      <x/>
    </i>
    <i>
      <x v="19"/>
      <x v="6"/>
      <x v="2"/>
      <x/>
    </i>
    <i>
      <x v="20"/>
      <x v="10"/>
      <x/>
      <x/>
    </i>
    <i>
      <x v="26"/>
      <x v="6"/>
      <x v="2"/>
      <x/>
    </i>
    <i>
      <x v="27"/>
      <x v="5"/>
      <x v="3"/>
      <x/>
    </i>
    <i>
      <x v="37"/>
      <x v="10"/>
      <x/>
      <x/>
    </i>
    <i>
      <x v="40"/>
      <x v="6"/>
      <x v="2"/>
      <x/>
    </i>
    <i t="grand">
      <x/>
    </i>
  </rowItems>
  <colItems count="1">
    <i/>
  </colItems>
  <pageFields count="1">
    <pageField fld="3" item="1" hier="-1"/>
  </pageFields>
  <dataFields count="1">
    <dataField name=" VALOR " fld="12" baseField="14" baseItem="1" numFmtId="44"/>
  </dataFields>
  <formats count="34"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grandRow="1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dataOnly="0" labelOnly="1" grandRow="1" outline="0" fieldPosition="0"/>
    </format>
    <format dxfId="63">
      <pivotArea outline="0" collapsedLevelsAreSubtotals="1" fieldPosition="0"/>
    </format>
    <format dxfId="62">
      <pivotArea dataOnly="0" labelOnly="1" grandRow="1" outline="0" fieldPosition="0"/>
    </format>
    <format dxfId="61">
      <pivotArea dataOnly="0" labelOnly="1" grandRow="1" outline="0" fieldPosition="0"/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dataOnly="0" labelOnly="1" grandRow="1" outline="0" fieldPosition="0"/>
    </format>
    <format dxfId="55">
      <pivotArea field="9" type="button" dataOnly="0" labelOnly="1" outline="0" axis="axisRow" fieldPosition="3"/>
    </format>
    <format dxfId="54">
      <pivotArea field="9" type="button" dataOnly="0" labelOnly="1" outline="0" axis="axisRow" fieldPosition="3"/>
    </format>
    <format dxfId="53">
      <pivotArea field="9" type="button" dataOnly="0" labelOnly="1" outline="0" axis="axisRow" fieldPosition="3"/>
    </format>
    <format dxfId="52">
      <pivotArea grandRow="1" outline="0" collapsedLevelsAreSubtotals="1" fieldPosition="0"/>
    </format>
    <format dxfId="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">
      <pivotArea type="all" dataOnly="0" outline="0" fieldPosition="0"/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dataOnly="0" labelOnly="1" grandRow="1" outline="0" fieldPosition="0"/>
    </format>
    <format dxfId="46">
      <pivotArea grandRow="1" outline="0" collapsedLevelsAreSubtotals="1" fieldPosition="0"/>
    </format>
    <format dxfId="45">
      <pivotArea dataOnly="0" labelOnly="1" grandRow="1" outline="0" offset="IV256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28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4"/>
        <item x="2"/>
        <item x="0"/>
        <item x="1"/>
        <item x="3"/>
        <item x="6"/>
        <item x="9"/>
        <item x="8"/>
        <item x="7"/>
        <item x="1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m="1" x="5"/>
        <item x="1"/>
        <item x="4"/>
        <item m="1" x="7"/>
        <item m="1" x="8"/>
        <item m="1" x="6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24">
    <i>
      <x v="9"/>
      <x v="7"/>
      <x/>
      <x/>
    </i>
    <i>
      <x v="11"/>
      <x v="6"/>
      <x v="3"/>
      <x/>
    </i>
    <i>
      <x v="12"/>
      <x v="8"/>
      <x/>
      <x/>
    </i>
    <i>
      <x v="13"/>
      <x v="8"/>
      <x/>
      <x/>
    </i>
    <i>
      <x v="14"/>
      <x v="10"/>
      <x v="8"/>
      <x/>
    </i>
    <i>
      <x v="16"/>
      <x v="8"/>
      <x/>
      <x/>
    </i>
    <i>
      <x v="17"/>
      <x v="10"/>
      <x/>
      <x/>
    </i>
    <i>
      <x v="18"/>
      <x v="10"/>
      <x/>
      <x/>
    </i>
    <i>
      <x v="20"/>
      <x v="10"/>
      <x/>
      <x/>
    </i>
    <i>
      <x v="21"/>
      <x v="5"/>
      <x v="7"/>
      <x/>
    </i>
    <i>
      <x v="22"/>
      <x v="8"/>
      <x/>
      <x/>
    </i>
    <i>
      <x v="23"/>
      <x v="7"/>
      <x/>
      <x/>
    </i>
    <i>
      <x v="24"/>
      <x v="10"/>
      <x/>
      <x/>
    </i>
    <i>
      <x v="27"/>
      <x v="5"/>
      <x v="7"/>
      <x/>
    </i>
    <i>
      <x v="29"/>
      <x v="9"/>
      <x/>
      <x/>
    </i>
    <i>
      <x v="32"/>
      <x v="8"/>
      <x/>
      <x/>
    </i>
    <i>
      <x v="34"/>
      <x v="8"/>
      <x/>
      <x/>
    </i>
    <i>
      <x v="35"/>
      <x v="6"/>
      <x v="3"/>
      <x/>
    </i>
    <i>
      <x v="36"/>
      <x v="8"/>
      <x/>
      <x/>
    </i>
    <i>
      <x v="40"/>
      <x v="6"/>
      <x v="3"/>
      <x/>
    </i>
    <i>
      <x v="44"/>
      <x v="7"/>
      <x/>
      <x/>
    </i>
    <i>
      <x v="49"/>
      <x v="8"/>
      <x/>
      <x/>
    </i>
    <i>
      <x v="53"/>
      <x v="8"/>
      <x/>
      <x/>
    </i>
    <i t="grand">
      <x/>
    </i>
  </rowItems>
  <colItems count="1">
    <i/>
  </colItems>
  <pageFields count="1">
    <pageField fld="3" item="3" hier="-1"/>
  </pageFields>
  <dataFields count="1">
    <dataField name=" VALOR " fld="12" baseField="14" baseItem="1" numFmtId="44"/>
  </dataFields>
  <formats count="34"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grandRow="1" outline="0" fieldPosition="0"/>
    </format>
    <format dxfId="19">
      <pivotArea field="9" type="button" dataOnly="0" labelOnly="1" outline="0" axis="axisRow" fieldPosition="3"/>
    </format>
    <format dxfId="18">
      <pivotArea field="9" type="button" dataOnly="0" labelOnly="1" outline="0" axis="axisRow" fieldPosition="3"/>
    </format>
    <format dxfId="17">
      <pivotArea field="9" type="button" dataOnly="0" labelOnly="1" outline="0" axis="axisRow" fieldPosition="3"/>
    </format>
    <format dxfId="16">
      <pivotArea grandRow="1"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">
      <pivotArea type="all" dataOnly="0" outline="0" fieldPosition="0"/>
    </format>
    <format dxfId="13">
      <pivotArea dataOnly="0" labelOnly="1" grandRow="1" outline="0" fieldPosition="0"/>
    </format>
    <format dxfId="12">
      <pivotArea type="all" dataOnly="0" outline="0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offset="IV256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R24" totalsRowShown="0">
  <autoFilter ref="A1:R24"/>
  <tableColumns count="18">
    <tableColumn id="1" name="PROCESSO"/>
    <tableColumn id="2" name="PREGÃO"/>
    <tableColumn id="3" name="VIGÊNCIA" dataDxfId="35"/>
    <tableColumn id="4" name="CENTRO DE CUSTO"/>
    <tableColumn id="5" name="DESCRIÇÃO DO CENTRO DE CUSTO"/>
    <tableColumn id="6" name="ITEM"/>
    <tableColumn id="7" name="DESCRIÇÃO DO ITEM"/>
    <tableColumn id="8" name="QUANT. DO RELATÓRIO"/>
    <tableColumn id="9" name="VALOR UNITÁRIO"/>
    <tableColumn id="10" name="DATA DO EMPENHO" dataDxfId="34"/>
    <tableColumn id="11" name="Nº DA NOTA DE EMPENHO"/>
    <tableColumn id="12" name="QUANT. EMPENHADA"/>
    <tableColumn id="13" name="VALOR EMPENHADO"/>
    <tableColumn id="14" name="DATA ENTREGA NO ALMOXARIFADO"/>
    <tableColumn id="15" name="Nº DA NOTA FISCAL/ RECIBO"/>
    <tableColumn id="16" name="ELEMENTO DA DESPESA"/>
    <tableColumn id="17" name="SUBELEMENTO DA DESPESA"/>
    <tableColumn id="18" name="OBSERVAÇÃ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topLeftCell="A2" workbookViewId="0">
      <selection sqref="A1:XFD1048576"/>
    </sheetView>
  </sheetViews>
  <sheetFormatPr defaultRowHeight="15" x14ac:dyDescent="0.25"/>
  <cols>
    <col min="1" max="1" width="8.7109375" customWidth="1"/>
    <col min="2" max="2" width="7.5703125" customWidth="1"/>
    <col min="3" max="3" width="34.42578125" customWidth="1"/>
    <col min="4" max="4" width="16.140625" customWidth="1"/>
    <col min="5" max="5" width="13.42578125" bestFit="1" customWidth="1"/>
    <col min="6" max="6" width="18.7109375" bestFit="1" customWidth="1"/>
    <col min="7" max="7" width="11.7109375" customWidth="1"/>
    <col min="8" max="10" width="11.7109375" style="108" customWidth="1"/>
    <col min="11" max="11" width="14.28515625" style="108" customWidth="1"/>
    <col min="12" max="12" width="11.7109375" style="108" customWidth="1"/>
    <col min="13" max="13" width="18.42578125" style="109" customWidth="1"/>
    <col min="14" max="14" width="16" customWidth="1"/>
    <col min="15" max="15" width="13.7109375" bestFit="1" customWidth="1"/>
  </cols>
  <sheetData>
    <row r="1" spans="1:14" s="23" customFormat="1" ht="87" hidden="1" customHeight="1" x14ac:dyDescent="0.25">
      <c r="A1" s="164" t="s">
        <v>351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 x14ac:dyDescent="0.35">
      <c r="A2" s="167" t="s">
        <v>352</v>
      </c>
      <c r="B2" s="168"/>
      <c r="C2" s="168"/>
      <c r="D2" s="168"/>
      <c r="E2" s="168"/>
      <c r="F2" s="168"/>
      <c r="G2" s="168"/>
      <c r="H2" s="169"/>
      <c r="I2" s="169"/>
      <c r="J2" s="169"/>
      <c r="K2" s="169"/>
      <c r="L2" s="169"/>
      <c r="M2" s="168"/>
      <c r="N2" s="168"/>
    </row>
    <row r="3" spans="1:14" s="28" customFormat="1" ht="15.75" thickBot="1" x14ac:dyDescent="0.3">
      <c r="A3" s="24" t="s">
        <v>353</v>
      </c>
      <c r="B3" s="170" t="s">
        <v>19</v>
      </c>
      <c r="C3" s="170"/>
      <c r="D3" s="170"/>
      <c r="E3" s="170"/>
      <c r="F3" s="25"/>
      <c r="G3" s="25"/>
      <c r="H3" s="26"/>
      <c r="I3" s="26"/>
      <c r="J3" s="26"/>
      <c r="K3" s="26"/>
      <c r="L3" s="26"/>
      <c r="M3" s="27"/>
    </row>
    <row r="4" spans="1:14" s="28" customFormat="1" ht="21.75" customHeight="1" thickTop="1" thickBot="1" x14ac:dyDescent="0.3">
      <c r="A4" s="24" t="s">
        <v>354</v>
      </c>
      <c r="B4" s="171" t="s">
        <v>20</v>
      </c>
      <c r="C4" s="171"/>
      <c r="D4" s="29"/>
      <c r="E4" s="24" t="s">
        <v>355</v>
      </c>
      <c r="F4" s="30">
        <v>43259</v>
      </c>
      <c r="G4" s="172" t="s">
        <v>356</v>
      </c>
      <c r="H4" s="174">
        <f ca="1">F4-F5</f>
        <v>-500</v>
      </c>
      <c r="I4" s="175"/>
      <c r="J4" s="175"/>
      <c r="K4" s="175"/>
      <c r="L4" s="175"/>
      <c r="M4" s="176"/>
    </row>
    <row r="5" spans="1:14" s="28" customFormat="1" ht="15.75" customHeight="1" thickBot="1" x14ac:dyDescent="0.3">
      <c r="A5" s="24"/>
      <c r="C5" s="31"/>
      <c r="D5" s="31"/>
      <c r="E5" s="24" t="s">
        <v>357</v>
      </c>
      <c r="F5" s="32">
        <f ca="1">TODAY()</f>
        <v>43759</v>
      </c>
      <c r="G5" s="173"/>
      <c r="H5" s="177"/>
      <c r="I5" s="178"/>
      <c r="J5" s="178"/>
      <c r="K5" s="178"/>
      <c r="L5" s="178"/>
      <c r="M5" s="179"/>
    </row>
    <row r="6" spans="1:14" s="28" customFormat="1" ht="10.5" customHeight="1" thickTop="1" x14ac:dyDescent="0.25">
      <c r="A6" s="24"/>
      <c r="C6" s="31"/>
      <c r="D6" s="31"/>
      <c r="E6" s="24"/>
      <c r="F6" s="32"/>
      <c r="G6" s="33"/>
      <c r="H6" s="33"/>
      <c r="I6" s="33"/>
      <c r="J6" s="33"/>
      <c r="K6" s="33"/>
      <c r="L6" s="33"/>
      <c r="M6" s="34"/>
    </row>
    <row r="7" spans="1:14" s="28" customFormat="1" ht="15.75" thickBot="1" x14ac:dyDescent="0.3">
      <c r="A7" s="24"/>
      <c r="B7" s="29"/>
      <c r="C7" s="29"/>
      <c r="D7" s="29"/>
      <c r="E7" s="24"/>
      <c r="F7" s="35"/>
      <c r="G7" s="36"/>
      <c r="H7" s="37"/>
      <c r="I7" s="37"/>
      <c r="J7" s="37"/>
      <c r="K7" s="37"/>
      <c r="L7" s="37"/>
      <c r="M7" s="27"/>
    </row>
    <row r="8" spans="1:14" s="28" customFormat="1" ht="22.5" customHeight="1" thickTop="1" x14ac:dyDescent="0.25">
      <c r="A8" s="38" t="s">
        <v>358</v>
      </c>
      <c r="B8" s="180" t="s">
        <v>359</v>
      </c>
      <c r="C8" s="181"/>
      <c r="D8" s="181"/>
      <c r="E8" s="181"/>
      <c r="F8" s="181"/>
      <c r="G8" s="181"/>
      <c r="H8" s="182"/>
      <c r="I8" s="182"/>
      <c r="J8" s="182"/>
      <c r="K8" s="182"/>
      <c r="L8" s="182"/>
      <c r="M8" s="181"/>
      <c r="N8" s="181"/>
    </row>
    <row r="9" spans="1:14" s="28" customFormat="1" ht="16.5" customHeight="1" thickBot="1" x14ac:dyDescent="0.3">
      <c r="A9" s="38"/>
      <c r="B9" s="183" t="s">
        <v>360</v>
      </c>
      <c r="C9" s="184"/>
      <c r="D9" s="184"/>
      <c r="E9" s="184"/>
      <c r="F9" s="184"/>
      <c r="G9" s="184"/>
      <c r="H9" s="185"/>
      <c r="I9" s="185"/>
      <c r="J9" s="185"/>
      <c r="K9" s="185"/>
      <c r="L9" s="185"/>
      <c r="M9" s="184"/>
      <c r="N9" s="184"/>
    </row>
    <row r="10" spans="1:14" ht="18" customHeight="1" thickTop="1" thickBot="1" x14ac:dyDescent="0.3">
      <c r="A10" s="39"/>
      <c r="B10" s="39"/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27"/>
    </row>
    <row r="11" spans="1:14" ht="30.75" thickBot="1" x14ac:dyDescent="0.3">
      <c r="A11" s="41" t="s">
        <v>361</v>
      </c>
      <c r="B11" s="42" t="s">
        <v>362</v>
      </c>
      <c r="C11" s="43" t="s">
        <v>363</v>
      </c>
      <c r="D11" s="43" t="s">
        <v>364</v>
      </c>
      <c r="E11" s="43" t="s">
        <v>365</v>
      </c>
      <c r="F11" s="43" t="s">
        <v>366</v>
      </c>
      <c r="G11" s="43" t="s">
        <v>367</v>
      </c>
      <c r="H11" s="43" t="s">
        <v>368</v>
      </c>
      <c r="I11" s="43" t="s">
        <v>369</v>
      </c>
      <c r="J11" s="43" t="s">
        <v>370</v>
      </c>
      <c r="K11" s="43" t="s">
        <v>371</v>
      </c>
      <c r="L11" s="43" t="s">
        <v>372</v>
      </c>
      <c r="M11" s="44" t="s">
        <v>373</v>
      </c>
      <c r="N11" s="45" t="s">
        <v>374</v>
      </c>
    </row>
    <row r="12" spans="1:14" s="50" customFormat="1" ht="76.5" x14ac:dyDescent="0.2">
      <c r="A12" s="46">
        <v>1</v>
      </c>
      <c r="B12" s="46" t="s">
        <v>375</v>
      </c>
      <c r="C12" s="47" t="s">
        <v>376</v>
      </c>
      <c r="D12" s="48" t="s">
        <v>377</v>
      </c>
      <c r="E12" s="46">
        <v>40</v>
      </c>
      <c r="F12" s="46" t="s">
        <v>375</v>
      </c>
      <c r="G12" s="46" t="s">
        <v>375</v>
      </c>
      <c r="H12" s="46" t="s">
        <v>375</v>
      </c>
      <c r="I12" s="46" t="s">
        <v>375</v>
      </c>
      <c r="J12" s="46" t="s">
        <v>375</v>
      </c>
      <c r="K12" s="46"/>
      <c r="L12" s="46" t="s">
        <v>375</v>
      </c>
      <c r="M12" s="46" t="s">
        <v>375</v>
      </c>
      <c r="N12" s="49" t="s">
        <v>375</v>
      </c>
    </row>
    <row r="13" spans="1:14" s="50" customFormat="1" ht="25.5" x14ac:dyDescent="0.2">
      <c r="A13" s="51">
        <f>A12+1</f>
        <v>2</v>
      </c>
      <c r="B13" s="51">
        <v>3</v>
      </c>
      <c r="C13" s="52" t="s">
        <v>378</v>
      </c>
      <c r="D13" s="53" t="s">
        <v>379</v>
      </c>
      <c r="E13" s="51">
        <v>25</v>
      </c>
      <c r="F13" s="51">
        <f>0</f>
        <v>0</v>
      </c>
      <c r="G13" s="51">
        <f>E13-F13-H13-I13-J13-L13-K13</f>
        <v>7</v>
      </c>
      <c r="H13" s="54">
        <v>18</v>
      </c>
      <c r="I13" s="54"/>
      <c r="J13" s="54"/>
      <c r="K13" s="54"/>
      <c r="L13" s="54"/>
      <c r="M13" s="55"/>
      <c r="N13" s="56">
        <v>9.99</v>
      </c>
    </row>
    <row r="14" spans="1:14" s="50" customFormat="1" ht="27" customHeight="1" x14ac:dyDescent="0.2">
      <c r="A14" s="51">
        <f t="shared" ref="A14:A77" si="0">A13+1</f>
        <v>3</v>
      </c>
      <c r="B14" s="51">
        <v>3</v>
      </c>
      <c r="C14" s="57" t="s">
        <v>380</v>
      </c>
      <c r="D14" s="53" t="s">
        <v>381</v>
      </c>
      <c r="E14" s="51">
        <v>60</v>
      </c>
      <c r="F14" s="51">
        <f>0</f>
        <v>0</v>
      </c>
      <c r="G14" s="51">
        <f t="shared" ref="G14:G16" si="1">E14-F14-H14-I14-J14-L14-K14</f>
        <v>24</v>
      </c>
      <c r="H14" s="54"/>
      <c r="I14" s="54"/>
      <c r="J14" s="54">
        <v>36</v>
      </c>
      <c r="K14" s="54"/>
      <c r="L14" s="54"/>
      <c r="M14" s="55"/>
      <c r="N14" s="56">
        <v>2.56</v>
      </c>
    </row>
    <row r="15" spans="1:14" s="64" customFormat="1" ht="25.5" x14ac:dyDescent="0.2">
      <c r="A15" s="58">
        <f t="shared" si="0"/>
        <v>4</v>
      </c>
      <c r="B15" s="58">
        <v>3</v>
      </c>
      <c r="C15" s="59" t="s">
        <v>382</v>
      </c>
      <c r="D15" s="60" t="s">
        <v>383</v>
      </c>
      <c r="E15" s="58">
        <v>130</v>
      </c>
      <c r="F15" s="58">
        <v>130</v>
      </c>
      <c r="G15" s="58">
        <f t="shared" si="1"/>
        <v>0</v>
      </c>
      <c r="H15" s="61">
        <f>130-130</f>
        <v>0</v>
      </c>
      <c r="I15" s="61"/>
      <c r="J15" s="61"/>
      <c r="K15" s="61"/>
      <c r="L15" s="61"/>
      <c r="M15" s="62"/>
      <c r="N15" s="63">
        <v>0.9</v>
      </c>
    </row>
    <row r="16" spans="1:14" s="50" customFormat="1" ht="25.5" x14ac:dyDescent="0.2">
      <c r="A16" s="51">
        <f t="shared" si="0"/>
        <v>5</v>
      </c>
      <c r="B16" s="51">
        <v>4</v>
      </c>
      <c r="C16" s="65" t="s">
        <v>384</v>
      </c>
      <c r="D16" s="66" t="s">
        <v>385</v>
      </c>
      <c r="E16" s="51">
        <v>6</v>
      </c>
      <c r="F16" s="51">
        <f>0</f>
        <v>0</v>
      </c>
      <c r="G16" s="51">
        <f t="shared" si="1"/>
        <v>2</v>
      </c>
      <c r="H16" s="54">
        <v>4</v>
      </c>
      <c r="I16" s="54"/>
      <c r="J16" s="54"/>
      <c r="K16" s="54"/>
      <c r="L16" s="54"/>
      <c r="M16" s="55"/>
      <c r="N16" s="67">
        <v>8.9600000000000009</v>
      </c>
    </row>
    <row r="17" spans="1:15" s="50" customFormat="1" ht="38.25" x14ac:dyDescent="0.2">
      <c r="A17" s="46">
        <f t="shared" si="0"/>
        <v>6</v>
      </c>
      <c r="B17" s="46" t="s">
        <v>375</v>
      </c>
      <c r="C17" s="68" t="s">
        <v>386</v>
      </c>
      <c r="D17" s="69" t="s">
        <v>383</v>
      </c>
      <c r="E17" s="46">
        <v>100</v>
      </c>
      <c r="F17" s="46" t="s">
        <v>375</v>
      </c>
      <c r="G17" s="46" t="s">
        <v>375</v>
      </c>
      <c r="H17" s="46" t="s">
        <v>375</v>
      </c>
      <c r="I17" s="46" t="s">
        <v>375</v>
      </c>
      <c r="J17" s="46" t="s">
        <v>375</v>
      </c>
      <c r="K17" s="46"/>
      <c r="L17" s="46" t="s">
        <v>375</v>
      </c>
      <c r="M17" s="46" t="s">
        <v>375</v>
      </c>
      <c r="N17" s="49" t="s">
        <v>375</v>
      </c>
    </row>
    <row r="18" spans="1:15" s="50" customFormat="1" ht="38.25" x14ac:dyDescent="0.2">
      <c r="A18" s="51">
        <f t="shared" si="0"/>
        <v>7</v>
      </c>
      <c r="B18" s="51">
        <v>3</v>
      </c>
      <c r="C18" s="53" t="s">
        <v>387</v>
      </c>
      <c r="D18" s="70" t="s">
        <v>388</v>
      </c>
      <c r="E18" s="51">
        <v>5200</v>
      </c>
      <c r="F18" s="51">
        <v>400</v>
      </c>
      <c r="G18" s="51">
        <f>E18-F18-H18-I18-J18-L18-K18</f>
        <v>1704</v>
      </c>
      <c r="H18" s="54">
        <f>3400-400</f>
        <v>3000</v>
      </c>
      <c r="I18" s="54"/>
      <c r="J18" s="54"/>
      <c r="K18" s="54"/>
      <c r="L18" s="54">
        <v>96</v>
      </c>
      <c r="M18" s="55"/>
      <c r="N18" s="56">
        <v>0.32</v>
      </c>
    </row>
    <row r="19" spans="1:15" s="50" customFormat="1" ht="38.25" x14ac:dyDescent="0.2">
      <c r="A19" s="46">
        <f t="shared" si="0"/>
        <v>8</v>
      </c>
      <c r="B19" s="46" t="s">
        <v>375</v>
      </c>
      <c r="C19" s="68" t="s">
        <v>387</v>
      </c>
      <c r="D19" s="69" t="s">
        <v>389</v>
      </c>
      <c r="E19" s="46">
        <v>130</v>
      </c>
      <c r="F19" s="46" t="s">
        <v>375</v>
      </c>
      <c r="G19" s="46" t="s">
        <v>375</v>
      </c>
      <c r="H19" s="46" t="s">
        <v>375</v>
      </c>
      <c r="I19" s="46" t="s">
        <v>375</v>
      </c>
      <c r="J19" s="46" t="s">
        <v>375</v>
      </c>
      <c r="K19" s="46"/>
      <c r="L19" s="46" t="s">
        <v>375</v>
      </c>
      <c r="M19" s="46" t="s">
        <v>375</v>
      </c>
      <c r="N19" s="49" t="s">
        <v>375</v>
      </c>
    </row>
    <row r="20" spans="1:15" s="50" customFormat="1" ht="38.25" x14ac:dyDescent="0.2">
      <c r="A20" s="51">
        <f t="shared" si="0"/>
        <v>9</v>
      </c>
      <c r="B20" s="51">
        <v>7</v>
      </c>
      <c r="C20" s="53" t="s">
        <v>390</v>
      </c>
      <c r="D20" s="70" t="s">
        <v>391</v>
      </c>
      <c r="E20" s="51">
        <v>130</v>
      </c>
      <c r="F20" s="51">
        <f>0</f>
        <v>0</v>
      </c>
      <c r="G20" s="51">
        <f t="shared" ref="G20:G23" si="2">E20-F20-H20-I20-J20-L20-K20</f>
        <v>30</v>
      </c>
      <c r="H20" s="54">
        <v>100</v>
      </c>
      <c r="I20" s="54"/>
      <c r="J20" s="54"/>
      <c r="K20" s="54"/>
      <c r="L20" s="54"/>
      <c r="M20" s="55"/>
      <c r="N20" s="56">
        <v>1.2</v>
      </c>
    </row>
    <row r="21" spans="1:15" s="50" customFormat="1" ht="31.5" customHeight="1" x14ac:dyDescent="0.2">
      <c r="A21" s="51">
        <f t="shared" si="0"/>
        <v>10</v>
      </c>
      <c r="B21" s="51">
        <v>4</v>
      </c>
      <c r="C21" s="66" t="s">
        <v>392</v>
      </c>
      <c r="D21" s="71" t="s">
        <v>393</v>
      </c>
      <c r="E21" s="51">
        <v>65</v>
      </c>
      <c r="F21" s="51">
        <f>0</f>
        <v>0</v>
      </c>
      <c r="G21" s="51">
        <f t="shared" si="2"/>
        <v>15</v>
      </c>
      <c r="H21" s="54">
        <v>50</v>
      </c>
      <c r="I21" s="54"/>
      <c r="J21" s="54"/>
      <c r="K21" s="54"/>
      <c r="L21" s="54"/>
      <c r="M21" s="55"/>
      <c r="N21" s="67">
        <v>2.0099999999999998</v>
      </c>
    </row>
    <row r="22" spans="1:15" s="50" customFormat="1" ht="27.75" customHeight="1" x14ac:dyDescent="0.2">
      <c r="A22" s="51">
        <f t="shared" si="0"/>
        <v>11</v>
      </c>
      <c r="B22" s="51">
        <v>3</v>
      </c>
      <c r="C22" s="53" t="s">
        <v>394</v>
      </c>
      <c r="D22" s="70" t="s">
        <v>395</v>
      </c>
      <c r="E22" s="51">
        <v>310</v>
      </c>
      <c r="F22" s="51">
        <v>0</v>
      </c>
      <c r="G22" s="51">
        <f t="shared" si="2"/>
        <v>217</v>
      </c>
      <c r="H22" s="54">
        <f>143-50</f>
        <v>93</v>
      </c>
      <c r="I22" s="54"/>
      <c r="J22" s="54"/>
      <c r="K22" s="54"/>
      <c r="L22" s="54"/>
      <c r="M22" s="55"/>
      <c r="N22" s="56">
        <v>6</v>
      </c>
      <c r="O22" s="72"/>
    </row>
    <row r="23" spans="1:15" s="50" customFormat="1" ht="51" x14ac:dyDescent="0.2">
      <c r="A23" s="51">
        <f t="shared" si="0"/>
        <v>12</v>
      </c>
      <c r="B23" s="51">
        <v>3</v>
      </c>
      <c r="C23" s="53" t="s">
        <v>396</v>
      </c>
      <c r="D23" s="70" t="s">
        <v>397</v>
      </c>
      <c r="E23" s="51">
        <v>195</v>
      </c>
      <c r="F23" s="51">
        <f>0</f>
        <v>0</v>
      </c>
      <c r="G23" s="51">
        <f t="shared" si="2"/>
        <v>95</v>
      </c>
      <c r="H23" s="54">
        <f>150-50</f>
        <v>100</v>
      </c>
      <c r="I23" s="54"/>
      <c r="J23" s="54"/>
      <c r="K23" s="54"/>
      <c r="L23" s="54"/>
      <c r="M23" s="55"/>
      <c r="N23" s="56">
        <v>74.8</v>
      </c>
      <c r="O23" s="72"/>
    </row>
    <row r="24" spans="1:15" s="50" customFormat="1" ht="140.25" x14ac:dyDescent="0.2">
      <c r="A24" s="46">
        <f t="shared" si="0"/>
        <v>13</v>
      </c>
      <c r="B24" s="46" t="s">
        <v>375</v>
      </c>
      <c r="C24" s="68" t="s">
        <v>398</v>
      </c>
      <c r="D24" s="69" t="s">
        <v>399</v>
      </c>
      <c r="E24" s="46">
        <v>120</v>
      </c>
      <c r="F24" s="46" t="s">
        <v>375</v>
      </c>
      <c r="G24" s="46" t="s">
        <v>375</v>
      </c>
      <c r="H24" s="46" t="s">
        <v>375</v>
      </c>
      <c r="I24" s="46" t="s">
        <v>375</v>
      </c>
      <c r="J24" s="46" t="s">
        <v>375</v>
      </c>
      <c r="K24" s="46"/>
      <c r="L24" s="46" t="s">
        <v>375</v>
      </c>
      <c r="M24" s="46" t="s">
        <v>375</v>
      </c>
      <c r="N24" s="49" t="s">
        <v>375</v>
      </c>
    </row>
    <row r="25" spans="1:15" s="50" customFormat="1" ht="38.25" x14ac:dyDescent="0.2">
      <c r="A25" s="46">
        <f t="shared" si="0"/>
        <v>14</v>
      </c>
      <c r="B25" s="46" t="s">
        <v>375</v>
      </c>
      <c r="C25" s="68" t="s">
        <v>400</v>
      </c>
      <c r="D25" s="69" t="s">
        <v>401</v>
      </c>
      <c r="E25" s="46">
        <v>2080</v>
      </c>
      <c r="F25" s="46" t="s">
        <v>375</v>
      </c>
      <c r="G25" s="46" t="s">
        <v>375</v>
      </c>
      <c r="H25" s="46" t="s">
        <v>375</v>
      </c>
      <c r="I25" s="46" t="s">
        <v>375</v>
      </c>
      <c r="J25" s="46" t="s">
        <v>375</v>
      </c>
      <c r="K25" s="46"/>
      <c r="L25" s="46" t="s">
        <v>375</v>
      </c>
      <c r="M25" s="46" t="s">
        <v>375</v>
      </c>
      <c r="N25" s="49" t="s">
        <v>375</v>
      </c>
    </row>
    <row r="26" spans="1:15" s="50" customFormat="1" ht="35.25" customHeight="1" x14ac:dyDescent="0.2">
      <c r="A26" s="51">
        <f t="shared" si="0"/>
        <v>15</v>
      </c>
      <c r="B26" s="51">
        <v>4</v>
      </c>
      <c r="C26" s="66" t="s">
        <v>402</v>
      </c>
      <c r="D26" s="71" t="s">
        <v>403</v>
      </c>
      <c r="E26" s="51">
        <v>3250</v>
      </c>
      <c r="F26" s="51">
        <f>0</f>
        <v>0</v>
      </c>
      <c r="G26" s="51">
        <f t="shared" ref="G26:G27" si="3">E26-F26-H26-I26-J26-L26-K26</f>
        <v>1750</v>
      </c>
      <c r="H26" s="54">
        <f>2500-1000</f>
        <v>1500</v>
      </c>
      <c r="I26" s="54"/>
      <c r="J26" s="54"/>
      <c r="K26" s="54"/>
      <c r="L26" s="54"/>
      <c r="M26" s="55"/>
      <c r="N26" s="67">
        <v>0.7</v>
      </c>
      <c r="O26" s="72"/>
    </row>
    <row r="27" spans="1:15" s="50" customFormat="1" ht="76.5" x14ac:dyDescent="0.2">
      <c r="A27" s="51">
        <f t="shared" si="0"/>
        <v>16</v>
      </c>
      <c r="B27" s="51">
        <v>2</v>
      </c>
      <c r="C27" s="53" t="s">
        <v>404</v>
      </c>
      <c r="D27" s="70" t="s">
        <v>405</v>
      </c>
      <c r="E27" s="51">
        <v>260</v>
      </c>
      <c r="F27" s="51">
        <f>0</f>
        <v>0</v>
      </c>
      <c r="G27" s="51">
        <f t="shared" si="3"/>
        <v>60</v>
      </c>
      <c r="H27" s="54">
        <v>200</v>
      </c>
      <c r="I27" s="54"/>
      <c r="J27" s="54"/>
      <c r="K27" s="54"/>
      <c r="L27" s="54"/>
      <c r="M27" s="55"/>
      <c r="N27" s="56">
        <v>4</v>
      </c>
    </row>
    <row r="28" spans="1:15" s="50" customFormat="1" ht="51" x14ac:dyDescent="0.2">
      <c r="A28" s="46">
        <f t="shared" si="0"/>
        <v>17</v>
      </c>
      <c r="B28" s="46" t="s">
        <v>375</v>
      </c>
      <c r="C28" s="68" t="s">
        <v>406</v>
      </c>
      <c r="D28" s="69" t="s">
        <v>407</v>
      </c>
      <c r="E28" s="46">
        <v>1300</v>
      </c>
      <c r="F28" s="46" t="s">
        <v>375</v>
      </c>
      <c r="G28" s="46" t="s">
        <v>375</v>
      </c>
      <c r="H28" s="46" t="s">
        <v>375</v>
      </c>
      <c r="I28" s="46" t="s">
        <v>375</v>
      </c>
      <c r="J28" s="46" t="s">
        <v>375</v>
      </c>
      <c r="K28" s="46"/>
      <c r="L28" s="46" t="s">
        <v>375</v>
      </c>
      <c r="M28" s="46" t="s">
        <v>375</v>
      </c>
      <c r="N28" s="49" t="s">
        <v>375</v>
      </c>
    </row>
    <row r="29" spans="1:15" s="50" customFormat="1" ht="76.5" customHeight="1" x14ac:dyDescent="0.2">
      <c r="A29" s="46">
        <f t="shared" si="0"/>
        <v>18</v>
      </c>
      <c r="B29" s="46" t="s">
        <v>375</v>
      </c>
      <c r="C29" s="68" t="s">
        <v>408</v>
      </c>
      <c r="D29" s="69" t="s">
        <v>409</v>
      </c>
      <c r="E29" s="46">
        <v>10</v>
      </c>
      <c r="F29" s="46" t="s">
        <v>375</v>
      </c>
      <c r="G29" s="46" t="s">
        <v>375</v>
      </c>
      <c r="H29" s="46" t="s">
        <v>375</v>
      </c>
      <c r="I29" s="46" t="s">
        <v>375</v>
      </c>
      <c r="J29" s="46" t="s">
        <v>375</v>
      </c>
      <c r="K29" s="46"/>
      <c r="L29" s="46" t="s">
        <v>375</v>
      </c>
      <c r="M29" s="46" t="s">
        <v>375</v>
      </c>
      <c r="N29" s="49" t="s">
        <v>375</v>
      </c>
    </row>
    <row r="30" spans="1:15" s="50" customFormat="1" ht="25.5" customHeight="1" x14ac:dyDescent="0.2">
      <c r="A30" s="51">
        <f t="shared" si="0"/>
        <v>19</v>
      </c>
      <c r="B30" s="51">
        <v>3</v>
      </c>
      <c r="C30" s="53" t="s">
        <v>410</v>
      </c>
      <c r="D30" s="70" t="s">
        <v>401</v>
      </c>
      <c r="E30" s="51">
        <v>390</v>
      </c>
      <c r="F30" s="51">
        <f>0</f>
        <v>0</v>
      </c>
      <c r="G30" s="51">
        <f t="shared" ref="G30:G31" si="4">E30-F30-H30-I30-J30-L30-K30</f>
        <v>140</v>
      </c>
      <c r="H30" s="54">
        <f>300-50</f>
        <v>250</v>
      </c>
      <c r="I30" s="54"/>
      <c r="J30" s="54"/>
      <c r="K30" s="54"/>
      <c r="L30" s="54"/>
      <c r="M30" s="55"/>
      <c r="N30" s="56">
        <v>1.19</v>
      </c>
      <c r="O30" s="72"/>
    </row>
    <row r="31" spans="1:15" s="50" customFormat="1" ht="38.25" customHeight="1" x14ac:dyDescent="0.2">
      <c r="A31" s="51">
        <f t="shared" si="0"/>
        <v>20</v>
      </c>
      <c r="B31" s="51">
        <v>4</v>
      </c>
      <c r="C31" s="66" t="s">
        <v>411</v>
      </c>
      <c r="D31" s="71" t="s">
        <v>412</v>
      </c>
      <c r="E31" s="51">
        <v>65</v>
      </c>
      <c r="F31" s="51">
        <f>0</f>
        <v>0</v>
      </c>
      <c r="G31" s="51">
        <f t="shared" si="4"/>
        <v>30</v>
      </c>
      <c r="H31" s="54">
        <f>50-15</f>
        <v>35</v>
      </c>
      <c r="I31" s="54"/>
      <c r="J31" s="54"/>
      <c r="K31" s="54"/>
      <c r="L31" s="54"/>
      <c r="M31" s="55"/>
      <c r="N31" s="67">
        <v>1.61</v>
      </c>
      <c r="O31" s="72"/>
    </row>
    <row r="32" spans="1:15" s="50" customFormat="1" ht="38.25" x14ac:dyDescent="0.2">
      <c r="A32" s="46">
        <f t="shared" si="0"/>
        <v>21</v>
      </c>
      <c r="B32" s="46" t="s">
        <v>375</v>
      </c>
      <c r="C32" s="68" t="s">
        <v>413</v>
      </c>
      <c r="D32" s="69" t="s">
        <v>412</v>
      </c>
      <c r="E32" s="46">
        <v>130</v>
      </c>
      <c r="F32" s="46" t="s">
        <v>375</v>
      </c>
      <c r="G32" s="46" t="s">
        <v>375</v>
      </c>
      <c r="H32" s="46" t="s">
        <v>375</v>
      </c>
      <c r="I32" s="46" t="s">
        <v>375</v>
      </c>
      <c r="J32" s="46" t="s">
        <v>375</v>
      </c>
      <c r="K32" s="46"/>
      <c r="L32" s="46" t="s">
        <v>375</v>
      </c>
      <c r="M32" s="46" t="s">
        <v>375</v>
      </c>
      <c r="N32" s="49" t="s">
        <v>375</v>
      </c>
    </row>
    <row r="33" spans="1:15" s="50" customFormat="1" ht="102" x14ac:dyDescent="0.2">
      <c r="A33" s="46">
        <f t="shared" si="0"/>
        <v>22</v>
      </c>
      <c r="B33" s="46" t="s">
        <v>375</v>
      </c>
      <c r="C33" s="68" t="s">
        <v>414</v>
      </c>
      <c r="D33" s="69" t="s">
        <v>415</v>
      </c>
      <c r="E33" s="46">
        <v>5</v>
      </c>
      <c r="F33" s="46" t="s">
        <v>375</v>
      </c>
      <c r="G33" s="46" t="s">
        <v>375</v>
      </c>
      <c r="H33" s="46" t="s">
        <v>375</v>
      </c>
      <c r="I33" s="46" t="s">
        <v>375</v>
      </c>
      <c r="J33" s="46" t="s">
        <v>375</v>
      </c>
      <c r="K33" s="46"/>
      <c r="L33" s="46" t="s">
        <v>375</v>
      </c>
      <c r="M33" s="46" t="s">
        <v>375</v>
      </c>
      <c r="N33" s="49" t="s">
        <v>375</v>
      </c>
    </row>
    <row r="34" spans="1:15" s="50" customFormat="1" ht="37.5" customHeight="1" x14ac:dyDescent="0.2">
      <c r="A34" s="51">
        <f t="shared" si="0"/>
        <v>23</v>
      </c>
      <c r="B34" s="51">
        <v>2</v>
      </c>
      <c r="C34" s="53" t="s">
        <v>416</v>
      </c>
      <c r="D34" s="70" t="s">
        <v>417</v>
      </c>
      <c r="E34" s="51">
        <v>186</v>
      </c>
      <c r="F34" s="51">
        <f>0</f>
        <v>0</v>
      </c>
      <c r="G34" s="51">
        <f t="shared" ref="G34:G37" si="5">E34-F34-H34-I34-J34-L34-K34</f>
        <v>115</v>
      </c>
      <c r="H34" s="54">
        <f>143-72</f>
        <v>71</v>
      </c>
      <c r="I34" s="54"/>
      <c r="J34" s="54"/>
      <c r="K34" s="54"/>
      <c r="L34" s="54"/>
      <c r="M34" s="55"/>
      <c r="N34" s="56">
        <v>4.2</v>
      </c>
      <c r="O34" s="72"/>
    </row>
    <row r="35" spans="1:15" s="50" customFormat="1" ht="36.75" customHeight="1" x14ac:dyDescent="0.2">
      <c r="A35" s="51">
        <f>A34+1</f>
        <v>24</v>
      </c>
      <c r="B35" s="51">
        <v>4</v>
      </c>
      <c r="C35" s="66" t="s">
        <v>418</v>
      </c>
      <c r="D35" s="71" t="s">
        <v>419</v>
      </c>
      <c r="E35" s="51">
        <v>130</v>
      </c>
      <c r="F35" s="51">
        <f>0</f>
        <v>0</v>
      </c>
      <c r="G35" s="51">
        <f t="shared" si="5"/>
        <v>55</v>
      </c>
      <c r="H35" s="54">
        <f>100-25</f>
        <v>75</v>
      </c>
      <c r="I35" s="54"/>
      <c r="J35" s="54"/>
      <c r="K35" s="54"/>
      <c r="L35" s="54"/>
      <c r="M35" s="55"/>
      <c r="N35" s="67">
        <v>44.92</v>
      </c>
      <c r="O35" s="72"/>
    </row>
    <row r="36" spans="1:15" s="50" customFormat="1" ht="48" customHeight="1" x14ac:dyDescent="0.2">
      <c r="A36" s="51">
        <f t="shared" si="0"/>
        <v>25</v>
      </c>
      <c r="B36" s="51">
        <v>3</v>
      </c>
      <c r="C36" s="53" t="s">
        <v>420</v>
      </c>
      <c r="D36" s="70" t="s">
        <v>388</v>
      </c>
      <c r="E36" s="51">
        <v>260</v>
      </c>
      <c r="F36" s="51">
        <f>0</f>
        <v>0</v>
      </c>
      <c r="G36" s="51">
        <f t="shared" si="5"/>
        <v>160</v>
      </c>
      <c r="H36" s="54">
        <f>200-100</f>
        <v>100</v>
      </c>
      <c r="I36" s="54"/>
      <c r="J36" s="54"/>
      <c r="K36" s="54"/>
      <c r="L36" s="54"/>
      <c r="M36" s="55"/>
      <c r="N36" s="56">
        <v>0.81</v>
      </c>
      <c r="O36" s="72"/>
    </row>
    <row r="37" spans="1:15" s="50" customFormat="1" ht="39.75" customHeight="1" x14ac:dyDescent="0.2">
      <c r="A37" s="51">
        <f t="shared" si="0"/>
        <v>26</v>
      </c>
      <c r="B37" s="51">
        <v>3</v>
      </c>
      <c r="C37" s="53" t="s">
        <v>421</v>
      </c>
      <c r="D37" s="70" t="s">
        <v>391</v>
      </c>
      <c r="E37" s="51">
        <v>680</v>
      </c>
      <c r="F37" s="51">
        <f>0</f>
        <v>0</v>
      </c>
      <c r="G37" s="51">
        <f t="shared" si="5"/>
        <v>170</v>
      </c>
      <c r="H37" s="54">
        <f>20-10</f>
        <v>10</v>
      </c>
      <c r="I37" s="54"/>
      <c r="J37" s="54"/>
      <c r="K37" s="54">
        <v>500</v>
      </c>
      <c r="L37" s="54"/>
      <c r="M37" s="55"/>
      <c r="N37" s="56">
        <v>0.55000000000000004</v>
      </c>
      <c r="O37" s="72"/>
    </row>
    <row r="38" spans="1:15" s="50" customFormat="1" ht="63.75" customHeight="1" x14ac:dyDescent="0.2">
      <c r="A38" s="46">
        <f t="shared" si="0"/>
        <v>27</v>
      </c>
      <c r="B38" s="46" t="s">
        <v>375</v>
      </c>
      <c r="C38" s="68" t="s">
        <v>422</v>
      </c>
      <c r="D38" s="69" t="s">
        <v>389</v>
      </c>
      <c r="E38" s="46">
        <v>4810</v>
      </c>
      <c r="F38" s="46" t="s">
        <v>375</v>
      </c>
      <c r="G38" s="46" t="s">
        <v>375</v>
      </c>
      <c r="H38" s="46" t="s">
        <v>375</v>
      </c>
      <c r="I38" s="46" t="s">
        <v>375</v>
      </c>
      <c r="J38" s="46" t="s">
        <v>375</v>
      </c>
      <c r="K38" s="46"/>
      <c r="L38" s="46" t="s">
        <v>375</v>
      </c>
      <c r="M38" s="46" t="s">
        <v>375</v>
      </c>
      <c r="N38" s="49" t="s">
        <v>375</v>
      </c>
    </row>
    <row r="39" spans="1:15" s="50" customFormat="1" ht="63.75" customHeight="1" x14ac:dyDescent="0.2">
      <c r="A39" s="46">
        <f t="shared" si="0"/>
        <v>28</v>
      </c>
      <c r="B39" s="46" t="s">
        <v>375</v>
      </c>
      <c r="C39" s="68" t="s">
        <v>422</v>
      </c>
      <c r="D39" s="69" t="s">
        <v>423</v>
      </c>
      <c r="E39" s="46">
        <v>4700</v>
      </c>
      <c r="F39" s="46" t="s">
        <v>375</v>
      </c>
      <c r="G39" s="46" t="s">
        <v>375</v>
      </c>
      <c r="H39" s="46" t="s">
        <v>375</v>
      </c>
      <c r="I39" s="46" t="s">
        <v>375</v>
      </c>
      <c r="J39" s="46" t="s">
        <v>375</v>
      </c>
      <c r="K39" s="46"/>
      <c r="L39" s="46" t="s">
        <v>375</v>
      </c>
      <c r="M39" s="46" t="s">
        <v>375</v>
      </c>
      <c r="N39" s="49" t="s">
        <v>375</v>
      </c>
    </row>
    <row r="40" spans="1:15" s="50" customFormat="1" ht="51" customHeight="1" x14ac:dyDescent="0.2">
      <c r="A40" s="51">
        <f t="shared" si="0"/>
        <v>29</v>
      </c>
      <c r="B40" s="51">
        <v>7</v>
      </c>
      <c r="C40" s="53" t="s">
        <v>420</v>
      </c>
      <c r="D40" s="70" t="s">
        <v>424</v>
      </c>
      <c r="E40" s="51">
        <v>130</v>
      </c>
      <c r="F40" s="51">
        <f>0</f>
        <v>0</v>
      </c>
      <c r="G40" s="51">
        <f>E40-F40-H40-I40-J40-L40-K40</f>
        <v>30</v>
      </c>
      <c r="H40" s="54"/>
      <c r="I40" s="54">
        <v>100</v>
      </c>
      <c r="J40" s="54"/>
      <c r="K40" s="54"/>
      <c r="L40" s="54"/>
      <c r="M40" s="55"/>
      <c r="N40" s="56">
        <v>6.56</v>
      </c>
    </row>
    <row r="41" spans="1:15" s="50" customFormat="1" ht="67.5" customHeight="1" x14ac:dyDescent="0.2">
      <c r="A41" s="46">
        <f t="shared" si="0"/>
        <v>30</v>
      </c>
      <c r="B41" s="46" t="s">
        <v>375</v>
      </c>
      <c r="C41" s="68" t="s">
        <v>422</v>
      </c>
      <c r="D41" s="69" t="s">
        <v>424</v>
      </c>
      <c r="E41" s="46">
        <v>520</v>
      </c>
      <c r="F41" s="46" t="s">
        <v>375</v>
      </c>
      <c r="G41" s="46" t="s">
        <v>375</v>
      </c>
      <c r="H41" s="46" t="s">
        <v>375</v>
      </c>
      <c r="I41" s="46" t="s">
        <v>375</v>
      </c>
      <c r="J41" s="46" t="s">
        <v>375</v>
      </c>
      <c r="K41" s="46"/>
      <c r="L41" s="46" t="s">
        <v>375</v>
      </c>
      <c r="M41" s="46" t="s">
        <v>375</v>
      </c>
      <c r="N41" s="49" t="s">
        <v>375</v>
      </c>
    </row>
    <row r="42" spans="1:15" s="50" customFormat="1" ht="49.5" customHeight="1" x14ac:dyDescent="0.2">
      <c r="A42" s="46">
        <f t="shared" si="0"/>
        <v>31</v>
      </c>
      <c r="B42" s="46" t="s">
        <v>375</v>
      </c>
      <c r="C42" s="68" t="s">
        <v>425</v>
      </c>
      <c r="D42" s="69" t="s">
        <v>391</v>
      </c>
      <c r="E42" s="46">
        <v>65</v>
      </c>
      <c r="F42" s="46" t="s">
        <v>375</v>
      </c>
      <c r="G42" s="46" t="s">
        <v>375</v>
      </c>
      <c r="H42" s="46" t="s">
        <v>375</v>
      </c>
      <c r="I42" s="46" t="s">
        <v>375</v>
      </c>
      <c r="J42" s="46" t="s">
        <v>375</v>
      </c>
      <c r="K42" s="46"/>
      <c r="L42" s="46" t="s">
        <v>375</v>
      </c>
      <c r="M42" s="46" t="s">
        <v>375</v>
      </c>
      <c r="N42" s="49" t="s">
        <v>375</v>
      </c>
    </row>
    <row r="43" spans="1:15" s="50" customFormat="1" ht="25.5" x14ac:dyDescent="0.2">
      <c r="A43" s="51">
        <f t="shared" si="0"/>
        <v>32</v>
      </c>
      <c r="B43" s="51">
        <v>3</v>
      </c>
      <c r="C43" s="53" t="s">
        <v>426</v>
      </c>
      <c r="D43" s="70" t="s">
        <v>417</v>
      </c>
      <c r="E43" s="51">
        <v>10</v>
      </c>
      <c r="F43" s="51">
        <f>0</f>
        <v>0</v>
      </c>
      <c r="G43" s="51">
        <f>E43-F43-H43-I43-J43-L43-K43</f>
        <v>4</v>
      </c>
      <c r="H43" s="54">
        <f>8-2</f>
        <v>6</v>
      </c>
      <c r="I43" s="54"/>
      <c r="J43" s="54"/>
      <c r="K43" s="54"/>
      <c r="L43" s="54"/>
      <c r="M43" s="55"/>
      <c r="N43" s="56">
        <v>18</v>
      </c>
      <c r="O43" s="72"/>
    </row>
    <row r="44" spans="1:15" s="50" customFormat="1" ht="48.75" customHeight="1" x14ac:dyDescent="0.2">
      <c r="A44" s="46">
        <f t="shared" si="0"/>
        <v>33</v>
      </c>
      <c r="B44" s="46" t="s">
        <v>375</v>
      </c>
      <c r="C44" s="68" t="s">
        <v>427</v>
      </c>
      <c r="D44" s="69" t="s">
        <v>428</v>
      </c>
      <c r="E44" s="46">
        <v>20</v>
      </c>
      <c r="F44" s="46" t="s">
        <v>375</v>
      </c>
      <c r="G44" s="46" t="s">
        <v>375</v>
      </c>
      <c r="H44" s="46" t="s">
        <v>375</v>
      </c>
      <c r="I44" s="46" t="s">
        <v>375</v>
      </c>
      <c r="J44" s="46" t="s">
        <v>375</v>
      </c>
      <c r="K44" s="46"/>
      <c r="L44" s="46" t="s">
        <v>375</v>
      </c>
      <c r="M44" s="46" t="s">
        <v>375</v>
      </c>
      <c r="N44" s="49" t="s">
        <v>375</v>
      </c>
    </row>
    <row r="45" spans="1:15" s="50" customFormat="1" ht="59.25" customHeight="1" x14ac:dyDescent="0.2">
      <c r="A45" s="46">
        <f t="shared" si="0"/>
        <v>34</v>
      </c>
      <c r="B45" s="46" t="s">
        <v>375</v>
      </c>
      <c r="C45" s="68" t="s">
        <v>429</v>
      </c>
      <c r="D45" s="69" t="s">
        <v>428</v>
      </c>
      <c r="E45" s="46">
        <v>20</v>
      </c>
      <c r="F45" s="46" t="s">
        <v>375</v>
      </c>
      <c r="G45" s="46" t="s">
        <v>375</v>
      </c>
      <c r="H45" s="46" t="s">
        <v>375</v>
      </c>
      <c r="I45" s="46" t="s">
        <v>375</v>
      </c>
      <c r="J45" s="46" t="s">
        <v>375</v>
      </c>
      <c r="K45" s="46"/>
      <c r="L45" s="46" t="s">
        <v>375</v>
      </c>
      <c r="M45" s="46" t="s">
        <v>375</v>
      </c>
      <c r="N45" s="49" t="s">
        <v>375</v>
      </c>
    </row>
    <row r="46" spans="1:15" s="50" customFormat="1" ht="25.5" x14ac:dyDescent="0.2">
      <c r="A46" s="51">
        <f t="shared" si="0"/>
        <v>35</v>
      </c>
      <c r="B46" s="51">
        <v>2</v>
      </c>
      <c r="C46" s="53" t="s">
        <v>430</v>
      </c>
      <c r="D46" s="70" t="s">
        <v>431</v>
      </c>
      <c r="E46" s="51">
        <v>60</v>
      </c>
      <c r="F46" s="51">
        <f>0</f>
        <v>0</v>
      </c>
      <c r="G46" s="51">
        <f>E46-F46-H46-I46-J46-L46-K46</f>
        <v>20</v>
      </c>
      <c r="H46" s="54">
        <v>40</v>
      </c>
      <c r="I46" s="54"/>
      <c r="J46" s="54"/>
      <c r="K46" s="54"/>
      <c r="L46" s="54"/>
      <c r="M46" s="55"/>
      <c r="N46" s="56">
        <v>12.5</v>
      </c>
    </row>
    <row r="47" spans="1:15" s="50" customFormat="1" ht="76.5" x14ac:dyDescent="0.2">
      <c r="A47" s="46">
        <f t="shared" si="0"/>
        <v>36</v>
      </c>
      <c r="B47" s="46" t="s">
        <v>375</v>
      </c>
      <c r="C47" s="68" t="s">
        <v>432</v>
      </c>
      <c r="D47" s="69" t="s">
        <v>433</v>
      </c>
      <c r="E47" s="46">
        <v>15</v>
      </c>
      <c r="F47" s="46" t="s">
        <v>375</v>
      </c>
      <c r="G47" s="46" t="s">
        <v>375</v>
      </c>
      <c r="H47" s="46" t="s">
        <v>375</v>
      </c>
      <c r="I47" s="46" t="s">
        <v>375</v>
      </c>
      <c r="J47" s="46" t="s">
        <v>375</v>
      </c>
      <c r="K47" s="46"/>
      <c r="L47" s="46" t="s">
        <v>375</v>
      </c>
      <c r="M47" s="46" t="s">
        <v>375</v>
      </c>
      <c r="N47" s="49" t="s">
        <v>375</v>
      </c>
    </row>
    <row r="48" spans="1:15" s="50" customFormat="1" ht="38.25" x14ac:dyDescent="0.2">
      <c r="A48" s="51">
        <f t="shared" si="0"/>
        <v>37</v>
      </c>
      <c r="B48" s="51">
        <v>7</v>
      </c>
      <c r="C48" s="53" t="s">
        <v>434</v>
      </c>
      <c r="D48" s="70" t="s">
        <v>401</v>
      </c>
      <c r="E48" s="51">
        <v>100</v>
      </c>
      <c r="F48" s="51">
        <f>0</f>
        <v>0</v>
      </c>
      <c r="G48" s="51">
        <f t="shared" ref="G48:G50" si="6">E48-F48-H48-I48-J48-L48-K48</f>
        <v>40</v>
      </c>
      <c r="H48" s="54">
        <v>60</v>
      </c>
      <c r="I48" s="54"/>
      <c r="J48" s="54"/>
      <c r="K48" s="54"/>
      <c r="L48" s="54"/>
      <c r="M48" s="55"/>
      <c r="N48" s="56">
        <v>2.16</v>
      </c>
    </row>
    <row r="49" spans="1:15" s="50" customFormat="1" ht="25.5" customHeight="1" x14ac:dyDescent="0.2">
      <c r="A49" s="51">
        <f t="shared" si="0"/>
        <v>38</v>
      </c>
      <c r="B49" s="51">
        <v>4</v>
      </c>
      <c r="C49" s="66" t="s">
        <v>435</v>
      </c>
      <c r="D49" s="71" t="s">
        <v>436</v>
      </c>
      <c r="E49" s="51">
        <v>910</v>
      </c>
      <c r="F49" s="51">
        <f>0</f>
        <v>0</v>
      </c>
      <c r="G49" s="51">
        <f t="shared" si="6"/>
        <v>210</v>
      </c>
      <c r="H49" s="54">
        <v>200</v>
      </c>
      <c r="I49" s="54"/>
      <c r="J49" s="54"/>
      <c r="K49" s="54">
        <v>500</v>
      </c>
      <c r="L49" s="54"/>
      <c r="M49" s="55"/>
      <c r="N49" s="67">
        <v>0.97</v>
      </c>
    </row>
    <row r="50" spans="1:15" s="50" customFormat="1" ht="33.75" customHeight="1" x14ac:dyDescent="0.2">
      <c r="A50" s="51">
        <f t="shared" si="0"/>
        <v>39</v>
      </c>
      <c r="B50" s="51">
        <v>2</v>
      </c>
      <c r="C50" s="53" t="s">
        <v>437</v>
      </c>
      <c r="D50" s="70" t="s">
        <v>438</v>
      </c>
      <c r="E50" s="51">
        <v>130</v>
      </c>
      <c r="F50" s="51">
        <f>0</f>
        <v>0</v>
      </c>
      <c r="G50" s="51">
        <f t="shared" si="6"/>
        <v>80</v>
      </c>
      <c r="H50" s="54">
        <f>20-50</f>
        <v>-30</v>
      </c>
      <c r="I50" s="54"/>
      <c r="J50" s="54"/>
      <c r="K50" s="54">
        <v>80</v>
      </c>
      <c r="L50" s="54"/>
      <c r="M50" s="55"/>
      <c r="N50" s="56">
        <v>1</v>
      </c>
      <c r="O50" s="72"/>
    </row>
    <row r="51" spans="1:15" s="50" customFormat="1" ht="38.25" x14ac:dyDescent="0.2">
      <c r="A51" s="46">
        <f t="shared" si="0"/>
        <v>40</v>
      </c>
      <c r="B51" s="46" t="s">
        <v>375</v>
      </c>
      <c r="C51" s="68" t="s">
        <v>439</v>
      </c>
      <c r="D51" s="69" t="s">
        <v>401</v>
      </c>
      <c r="E51" s="46">
        <v>390</v>
      </c>
      <c r="F51" s="46" t="s">
        <v>375</v>
      </c>
      <c r="G51" s="46" t="s">
        <v>375</v>
      </c>
      <c r="H51" s="46" t="s">
        <v>375</v>
      </c>
      <c r="I51" s="46" t="s">
        <v>375</v>
      </c>
      <c r="J51" s="46" t="s">
        <v>375</v>
      </c>
      <c r="K51" s="46"/>
      <c r="L51" s="46" t="s">
        <v>375</v>
      </c>
      <c r="M51" s="46" t="s">
        <v>375</v>
      </c>
      <c r="N51" s="49" t="s">
        <v>375</v>
      </c>
    </row>
    <row r="52" spans="1:15" s="50" customFormat="1" ht="38.25" x14ac:dyDescent="0.2">
      <c r="A52" s="51">
        <f t="shared" si="0"/>
        <v>41</v>
      </c>
      <c r="B52" s="51">
        <v>4</v>
      </c>
      <c r="C52" s="66" t="s">
        <v>440</v>
      </c>
      <c r="D52" s="71" t="s">
        <v>401</v>
      </c>
      <c r="E52" s="51">
        <v>390</v>
      </c>
      <c r="F52" s="51">
        <f>0</f>
        <v>0</v>
      </c>
      <c r="G52" s="51">
        <f>E52-F52-H52-I52-J52-L52-K52</f>
        <v>90</v>
      </c>
      <c r="H52" s="54"/>
      <c r="I52" s="54"/>
      <c r="J52" s="54"/>
      <c r="K52" s="54">
        <v>300</v>
      </c>
      <c r="L52" s="54"/>
      <c r="M52" s="55"/>
      <c r="N52" s="67">
        <v>1.1399999999999999</v>
      </c>
    </row>
    <row r="53" spans="1:15" s="50" customFormat="1" ht="25.5" x14ac:dyDescent="0.2">
      <c r="A53" s="46">
        <f t="shared" si="0"/>
        <v>42</v>
      </c>
      <c r="B53" s="46" t="s">
        <v>375</v>
      </c>
      <c r="C53" s="68" t="s">
        <v>441</v>
      </c>
      <c r="D53" s="69" t="s">
        <v>397</v>
      </c>
      <c r="E53" s="46">
        <v>7</v>
      </c>
      <c r="F53" s="46" t="s">
        <v>375</v>
      </c>
      <c r="G53" s="46" t="s">
        <v>375</v>
      </c>
      <c r="H53" s="46" t="s">
        <v>375</v>
      </c>
      <c r="I53" s="46" t="s">
        <v>375</v>
      </c>
      <c r="J53" s="46" t="s">
        <v>375</v>
      </c>
      <c r="K53" s="46"/>
      <c r="L53" s="46" t="s">
        <v>375</v>
      </c>
      <c r="M53" s="46" t="s">
        <v>375</v>
      </c>
      <c r="N53" s="49" t="s">
        <v>375</v>
      </c>
    </row>
    <row r="54" spans="1:15" s="50" customFormat="1" ht="50.25" customHeight="1" x14ac:dyDescent="0.2">
      <c r="A54" s="51">
        <f t="shared" si="0"/>
        <v>43</v>
      </c>
      <c r="B54" s="51">
        <v>3</v>
      </c>
      <c r="C54" s="53" t="s">
        <v>442</v>
      </c>
      <c r="D54" s="70" t="s">
        <v>393</v>
      </c>
      <c r="E54" s="51">
        <v>2600</v>
      </c>
      <c r="F54" s="51">
        <v>2000</v>
      </c>
      <c r="G54" s="51">
        <f>E54-F54-H54-I54-J54-L54-K54</f>
        <v>600</v>
      </c>
      <c r="H54" s="54">
        <f>2000-2000</f>
        <v>0</v>
      </c>
      <c r="I54" s="54"/>
      <c r="J54" s="54"/>
      <c r="K54" s="54"/>
      <c r="L54" s="54"/>
      <c r="M54" s="55"/>
      <c r="N54" s="56">
        <v>1.19</v>
      </c>
    </row>
    <row r="55" spans="1:15" s="50" customFormat="1" ht="43.5" customHeight="1" x14ac:dyDescent="0.2">
      <c r="A55" s="46">
        <f t="shared" si="0"/>
        <v>44</v>
      </c>
      <c r="B55" s="46" t="s">
        <v>375</v>
      </c>
      <c r="C55" s="68" t="s">
        <v>443</v>
      </c>
      <c r="D55" s="69" t="s">
        <v>393</v>
      </c>
      <c r="E55" s="46">
        <v>30</v>
      </c>
      <c r="F55" s="46" t="s">
        <v>375</v>
      </c>
      <c r="G55" s="46" t="s">
        <v>375</v>
      </c>
      <c r="H55" s="46" t="s">
        <v>375</v>
      </c>
      <c r="I55" s="46" t="s">
        <v>375</v>
      </c>
      <c r="J55" s="46" t="s">
        <v>375</v>
      </c>
      <c r="K55" s="46"/>
      <c r="L55" s="46" t="s">
        <v>375</v>
      </c>
      <c r="M55" s="46" t="s">
        <v>375</v>
      </c>
      <c r="N55" s="49" t="s">
        <v>375</v>
      </c>
    </row>
    <row r="56" spans="1:15" s="50" customFormat="1" ht="47.25" customHeight="1" x14ac:dyDescent="0.2">
      <c r="A56" s="46">
        <f t="shared" si="0"/>
        <v>45</v>
      </c>
      <c r="B56" s="46" t="s">
        <v>375</v>
      </c>
      <c r="C56" s="68" t="s">
        <v>443</v>
      </c>
      <c r="D56" s="69" t="s">
        <v>444</v>
      </c>
      <c r="E56" s="46">
        <v>40</v>
      </c>
      <c r="F56" s="46" t="s">
        <v>375</v>
      </c>
      <c r="G56" s="46" t="s">
        <v>375</v>
      </c>
      <c r="H56" s="46" t="s">
        <v>375</v>
      </c>
      <c r="I56" s="46" t="s">
        <v>375</v>
      </c>
      <c r="J56" s="46" t="s">
        <v>375</v>
      </c>
      <c r="K56" s="46"/>
      <c r="L56" s="46" t="s">
        <v>375</v>
      </c>
      <c r="M56" s="46" t="s">
        <v>375</v>
      </c>
      <c r="N56" s="49" t="s">
        <v>375</v>
      </c>
    </row>
    <row r="57" spans="1:15" s="50" customFormat="1" ht="38.25" x14ac:dyDescent="0.2">
      <c r="A57" s="51">
        <f t="shared" si="0"/>
        <v>46</v>
      </c>
      <c r="B57" s="51">
        <v>4</v>
      </c>
      <c r="C57" s="66" t="s">
        <v>445</v>
      </c>
      <c r="D57" s="71" t="s">
        <v>393</v>
      </c>
      <c r="E57" s="51">
        <v>2600</v>
      </c>
      <c r="F57" s="51">
        <f>0</f>
        <v>0</v>
      </c>
      <c r="G57" s="51">
        <f>E57-F57-H57-I57-J57-L57-K57</f>
        <v>1600</v>
      </c>
      <c r="H57" s="54">
        <v>1000</v>
      </c>
      <c r="I57" s="54"/>
      <c r="J57" s="54"/>
      <c r="K57" s="54"/>
      <c r="L57" s="54"/>
      <c r="M57" s="55"/>
      <c r="N57" s="67">
        <v>0.6</v>
      </c>
    </row>
    <row r="58" spans="1:15" s="50" customFormat="1" ht="60.75" customHeight="1" x14ac:dyDescent="0.2">
      <c r="A58" s="46">
        <f t="shared" si="0"/>
        <v>47</v>
      </c>
      <c r="B58" s="46" t="s">
        <v>375</v>
      </c>
      <c r="C58" s="68" t="s">
        <v>446</v>
      </c>
      <c r="D58" s="69" t="s">
        <v>412</v>
      </c>
      <c r="E58" s="46">
        <v>30</v>
      </c>
      <c r="F58" s="46" t="s">
        <v>375</v>
      </c>
      <c r="G58" s="46" t="s">
        <v>375</v>
      </c>
      <c r="H58" s="46" t="s">
        <v>375</v>
      </c>
      <c r="I58" s="46" t="s">
        <v>375</v>
      </c>
      <c r="J58" s="46" t="s">
        <v>375</v>
      </c>
      <c r="K58" s="46"/>
      <c r="L58" s="46" t="s">
        <v>375</v>
      </c>
      <c r="M58" s="46" t="s">
        <v>375</v>
      </c>
      <c r="N58" s="49" t="s">
        <v>375</v>
      </c>
    </row>
    <row r="59" spans="1:15" s="50" customFormat="1" ht="54.75" customHeight="1" x14ac:dyDescent="0.2">
      <c r="A59" s="51">
        <f t="shared" si="0"/>
        <v>48</v>
      </c>
      <c r="B59" s="51">
        <v>7</v>
      </c>
      <c r="C59" s="53" t="s">
        <v>447</v>
      </c>
      <c r="D59" s="70" t="s">
        <v>401</v>
      </c>
      <c r="E59" s="51">
        <v>3750</v>
      </c>
      <c r="F59" s="51">
        <f>0</f>
        <v>0</v>
      </c>
      <c r="G59" s="51">
        <f t="shared" ref="G59:G66" si="7">E59-F59-H59-I59-J59-L59-K59</f>
        <v>1240</v>
      </c>
      <c r="H59" s="54">
        <v>1650</v>
      </c>
      <c r="I59" s="54"/>
      <c r="J59" s="54"/>
      <c r="K59" s="54">
        <v>800</v>
      </c>
      <c r="L59" s="54">
        <v>60</v>
      </c>
      <c r="M59" s="55"/>
      <c r="N59" s="56">
        <v>0.75</v>
      </c>
    </row>
    <row r="60" spans="1:15" s="50" customFormat="1" ht="49.5" customHeight="1" x14ac:dyDescent="0.2">
      <c r="A60" s="51">
        <f t="shared" si="0"/>
        <v>49</v>
      </c>
      <c r="B60" s="51">
        <v>2</v>
      </c>
      <c r="C60" s="53" t="s">
        <v>448</v>
      </c>
      <c r="D60" s="70" t="s">
        <v>412</v>
      </c>
      <c r="E60" s="51">
        <v>150</v>
      </c>
      <c r="F60" s="51">
        <f>0</f>
        <v>0</v>
      </c>
      <c r="G60" s="51">
        <f t="shared" si="7"/>
        <v>88</v>
      </c>
      <c r="H60" s="54">
        <f>100-50</f>
        <v>50</v>
      </c>
      <c r="I60" s="54"/>
      <c r="J60" s="54">
        <v>12</v>
      </c>
      <c r="K60" s="54"/>
      <c r="L60" s="54"/>
      <c r="M60" s="55"/>
      <c r="N60" s="56">
        <v>1.42</v>
      </c>
      <c r="O60" s="72"/>
    </row>
    <row r="61" spans="1:15" s="50" customFormat="1" ht="45.75" customHeight="1" x14ac:dyDescent="0.2">
      <c r="A61" s="51">
        <f t="shared" si="0"/>
        <v>50</v>
      </c>
      <c r="B61" s="51">
        <v>7</v>
      </c>
      <c r="C61" s="53" t="s">
        <v>449</v>
      </c>
      <c r="D61" s="70" t="s">
        <v>391</v>
      </c>
      <c r="E61" s="51">
        <v>65</v>
      </c>
      <c r="F61" s="51">
        <f>0</f>
        <v>0</v>
      </c>
      <c r="G61" s="51">
        <f t="shared" si="7"/>
        <v>15</v>
      </c>
      <c r="H61" s="54">
        <v>50</v>
      </c>
      <c r="I61" s="54"/>
      <c r="J61" s="54"/>
      <c r="K61" s="54"/>
      <c r="L61" s="54"/>
      <c r="M61" s="55"/>
      <c r="N61" s="56">
        <v>1.77</v>
      </c>
    </row>
    <row r="62" spans="1:15" s="50" customFormat="1" ht="48" customHeight="1" x14ac:dyDescent="0.2">
      <c r="A62" s="51">
        <f t="shared" si="0"/>
        <v>51</v>
      </c>
      <c r="B62" s="51">
        <v>4</v>
      </c>
      <c r="C62" s="66" t="s">
        <v>450</v>
      </c>
      <c r="D62" s="71" t="s">
        <v>405</v>
      </c>
      <c r="E62" s="51">
        <v>65</v>
      </c>
      <c r="F62" s="51">
        <f>0</f>
        <v>0</v>
      </c>
      <c r="G62" s="51">
        <f t="shared" si="7"/>
        <v>15</v>
      </c>
      <c r="H62" s="54"/>
      <c r="I62" s="54"/>
      <c r="J62" s="54"/>
      <c r="K62" s="54">
        <v>50</v>
      </c>
      <c r="L62" s="54"/>
      <c r="M62" s="55"/>
      <c r="N62" s="67">
        <v>5.61</v>
      </c>
    </row>
    <row r="63" spans="1:15" s="50" customFormat="1" ht="39" customHeight="1" x14ac:dyDescent="0.2">
      <c r="A63" s="51">
        <f t="shared" si="0"/>
        <v>52</v>
      </c>
      <c r="B63" s="51">
        <v>7</v>
      </c>
      <c r="C63" s="53" t="s">
        <v>451</v>
      </c>
      <c r="D63" s="70" t="s">
        <v>405</v>
      </c>
      <c r="E63" s="51">
        <v>590</v>
      </c>
      <c r="F63" s="51">
        <f>0</f>
        <v>0</v>
      </c>
      <c r="G63" s="51">
        <f t="shared" si="7"/>
        <v>160</v>
      </c>
      <c r="H63" s="54">
        <f>100-20</f>
        <v>80</v>
      </c>
      <c r="I63" s="54"/>
      <c r="J63" s="54"/>
      <c r="K63" s="54">
        <v>350</v>
      </c>
      <c r="L63" s="54"/>
      <c r="M63" s="55"/>
      <c r="N63" s="56">
        <v>3.5</v>
      </c>
      <c r="O63" s="72"/>
    </row>
    <row r="64" spans="1:15" s="64" customFormat="1" ht="69" customHeight="1" x14ac:dyDescent="0.2">
      <c r="A64" s="58">
        <f t="shared" si="0"/>
        <v>53</v>
      </c>
      <c r="B64" s="58">
        <v>7</v>
      </c>
      <c r="C64" s="60" t="s">
        <v>452</v>
      </c>
      <c r="D64" s="73" t="s">
        <v>383</v>
      </c>
      <c r="E64" s="58">
        <v>650</v>
      </c>
      <c r="F64" s="58">
        <v>650</v>
      </c>
      <c r="G64" s="58">
        <f t="shared" si="7"/>
        <v>0</v>
      </c>
      <c r="H64" s="61">
        <f>650-650</f>
        <v>0</v>
      </c>
      <c r="I64" s="61"/>
      <c r="J64" s="61"/>
      <c r="K64" s="61"/>
      <c r="L64" s="61"/>
      <c r="M64" s="62"/>
      <c r="N64" s="63">
        <v>1.8</v>
      </c>
    </row>
    <row r="65" spans="1:15" s="50" customFormat="1" ht="58.5" customHeight="1" x14ac:dyDescent="0.2">
      <c r="A65" s="51">
        <f t="shared" si="0"/>
        <v>54</v>
      </c>
      <c r="B65" s="51">
        <v>7</v>
      </c>
      <c r="C65" s="53" t="s">
        <v>453</v>
      </c>
      <c r="D65" s="70" t="s">
        <v>405</v>
      </c>
      <c r="E65" s="51">
        <v>780</v>
      </c>
      <c r="F65" s="51">
        <f>0</f>
        <v>0</v>
      </c>
      <c r="G65" s="51">
        <f t="shared" si="7"/>
        <v>330</v>
      </c>
      <c r="H65" s="54">
        <f>400-150</f>
        <v>250</v>
      </c>
      <c r="I65" s="54"/>
      <c r="J65" s="54"/>
      <c r="K65" s="54">
        <v>200</v>
      </c>
      <c r="L65" s="54"/>
      <c r="M65" s="55"/>
      <c r="N65" s="56">
        <v>1.4</v>
      </c>
      <c r="O65" s="72"/>
    </row>
    <row r="66" spans="1:15" s="50" customFormat="1" ht="50.25" customHeight="1" x14ac:dyDescent="0.2">
      <c r="A66" s="51">
        <f t="shared" si="0"/>
        <v>55</v>
      </c>
      <c r="B66" s="51">
        <v>2</v>
      </c>
      <c r="C66" s="53" t="s">
        <v>454</v>
      </c>
      <c r="D66" s="70" t="s">
        <v>391</v>
      </c>
      <c r="E66" s="51">
        <v>35</v>
      </c>
      <c r="F66" s="51">
        <f>0</f>
        <v>0</v>
      </c>
      <c r="G66" s="51">
        <f t="shared" si="7"/>
        <v>11</v>
      </c>
      <c r="H66" s="54"/>
      <c r="I66" s="54"/>
      <c r="J66" s="54"/>
      <c r="K66" s="54"/>
      <c r="L66" s="54">
        <v>24</v>
      </c>
      <c r="M66" s="55"/>
      <c r="N66" s="56">
        <v>15.75</v>
      </c>
    </row>
    <row r="67" spans="1:15" s="50" customFormat="1" ht="40.5" customHeight="1" x14ac:dyDescent="0.2">
      <c r="A67" s="46">
        <f t="shared" si="0"/>
        <v>56</v>
      </c>
      <c r="B67" s="46" t="s">
        <v>375</v>
      </c>
      <c r="C67" s="68" t="s">
        <v>455</v>
      </c>
      <c r="D67" s="69" t="s">
        <v>401</v>
      </c>
      <c r="E67" s="46">
        <v>130</v>
      </c>
      <c r="F67" s="46" t="s">
        <v>375</v>
      </c>
      <c r="G67" s="46" t="s">
        <v>375</v>
      </c>
      <c r="H67" s="46" t="s">
        <v>375</v>
      </c>
      <c r="I67" s="46" t="s">
        <v>375</v>
      </c>
      <c r="J67" s="46" t="s">
        <v>375</v>
      </c>
      <c r="K67" s="46"/>
      <c r="L67" s="46" t="s">
        <v>375</v>
      </c>
      <c r="M67" s="46" t="s">
        <v>375</v>
      </c>
      <c r="N67" s="49" t="s">
        <v>375</v>
      </c>
    </row>
    <row r="68" spans="1:15" s="50" customFormat="1" ht="58.5" customHeight="1" x14ac:dyDescent="0.2">
      <c r="A68" s="51">
        <f t="shared" si="0"/>
        <v>57</v>
      </c>
      <c r="B68" s="51">
        <v>2</v>
      </c>
      <c r="C68" s="53" t="s">
        <v>456</v>
      </c>
      <c r="D68" s="70" t="s">
        <v>412</v>
      </c>
      <c r="E68" s="51">
        <v>60</v>
      </c>
      <c r="F68" s="51">
        <f>0</f>
        <v>0</v>
      </c>
      <c r="G68" s="51">
        <f t="shared" ref="G68:G69" si="8">E68-F68-H68-I68-J68-L68-K68</f>
        <v>20</v>
      </c>
      <c r="H68" s="54">
        <v>40</v>
      </c>
      <c r="I68" s="54"/>
      <c r="J68" s="54"/>
      <c r="K68" s="54"/>
      <c r="L68" s="54"/>
      <c r="M68" s="55"/>
      <c r="N68" s="56">
        <v>3.47</v>
      </c>
    </row>
    <row r="69" spans="1:15" s="50" customFormat="1" ht="54.75" customHeight="1" x14ac:dyDescent="0.2">
      <c r="A69" s="51">
        <f t="shared" si="0"/>
        <v>58</v>
      </c>
      <c r="B69" s="51">
        <v>7</v>
      </c>
      <c r="C69" s="53" t="s">
        <v>457</v>
      </c>
      <c r="D69" s="70" t="s">
        <v>391</v>
      </c>
      <c r="E69" s="51">
        <v>550</v>
      </c>
      <c r="F69" s="51">
        <f>0</f>
        <v>0</v>
      </c>
      <c r="G69" s="51">
        <f t="shared" si="8"/>
        <v>142</v>
      </c>
      <c r="H69" s="54"/>
      <c r="I69" s="54"/>
      <c r="J69" s="54"/>
      <c r="K69" s="54">
        <v>360</v>
      </c>
      <c r="L69" s="54">
        <v>48</v>
      </c>
      <c r="M69" s="55"/>
      <c r="N69" s="56">
        <v>4</v>
      </c>
    </row>
    <row r="70" spans="1:15" s="50" customFormat="1" ht="76.5" x14ac:dyDescent="0.2">
      <c r="A70" s="46">
        <f t="shared" si="0"/>
        <v>59</v>
      </c>
      <c r="B70" s="46" t="s">
        <v>375</v>
      </c>
      <c r="C70" s="68" t="s">
        <v>458</v>
      </c>
      <c r="D70" s="69" t="s">
        <v>431</v>
      </c>
      <c r="E70" s="46">
        <v>15</v>
      </c>
      <c r="F70" s="46" t="s">
        <v>375</v>
      </c>
      <c r="G70" s="46" t="s">
        <v>375</v>
      </c>
      <c r="H70" s="46" t="s">
        <v>375</v>
      </c>
      <c r="I70" s="46" t="s">
        <v>375</v>
      </c>
      <c r="J70" s="46" t="s">
        <v>375</v>
      </c>
      <c r="K70" s="46"/>
      <c r="L70" s="46" t="s">
        <v>375</v>
      </c>
      <c r="M70" s="46" t="s">
        <v>375</v>
      </c>
      <c r="N70" s="49" t="s">
        <v>375</v>
      </c>
    </row>
    <row r="71" spans="1:15" s="50" customFormat="1" ht="52.5" customHeight="1" x14ac:dyDescent="0.2">
      <c r="A71" s="51">
        <f t="shared" si="0"/>
        <v>60</v>
      </c>
      <c r="B71" s="51">
        <v>4</v>
      </c>
      <c r="C71" s="66" t="s">
        <v>459</v>
      </c>
      <c r="D71" s="71" t="s">
        <v>460</v>
      </c>
      <c r="E71" s="51">
        <v>65</v>
      </c>
      <c r="F71" s="51">
        <f>0</f>
        <v>0</v>
      </c>
      <c r="G71" s="51">
        <f t="shared" ref="G71:G73" si="9">E71-F71-H71-I71-J71-L71-K71</f>
        <v>15</v>
      </c>
      <c r="H71" s="54">
        <v>50</v>
      </c>
      <c r="I71" s="54"/>
      <c r="J71" s="54"/>
      <c r="K71" s="54"/>
      <c r="L71" s="54"/>
      <c r="M71" s="55"/>
      <c r="N71" s="67">
        <v>3.43</v>
      </c>
    </row>
    <row r="72" spans="1:15" s="50" customFormat="1" ht="52.5" customHeight="1" x14ac:dyDescent="0.2">
      <c r="A72" s="51">
        <f t="shared" si="0"/>
        <v>61</v>
      </c>
      <c r="B72" s="51">
        <v>1</v>
      </c>
      <c r="C72" s="53" t="s">
        <v>461</v>
      </c>
      <c r="D72" s="70" t="s">
        <v>462</v>
      </c>
      <c r="E72" s="51">
        <v>100</v>
      </c>
      <c r="F72" s="51">
        <f>0</f>
        <v>0</v>
      </c>
      <c r="G72" s="51">
        <f t="shared" si="9"/>
        <v>30</v>
      </c>
      <c r="H72" s="54"/>
      <c r="I72" s="54">
        <v>20</v>
      </c>
      <c r="J72" s="54"/>
      <c r="K72" s="54">
        <v>50</v>
      </c>
      <c r="L72" s="54"/>
      <c r="M72" s="55"/>
      <c r="N72" s="56">
        <v>9</v>
      </c>
    </row>
    <row r="73" spans="1:15" s="50" customFormat="1" ht="54.75" customHeight="1" x14ac:dyDescent="0.2">
      <c r="A73" s="51">
        <f t="shared" si="0"/>
        <v>62</v>
      </c>
      <c r="B73" s="51">
        <v>4</v>
      </c>
      <c r="C73" s="66" t="s">
        <v>463</v>
      </c>
      <c r="D73" s="71" t="s">
        <v>401</v>
      </c>
      <c r="E73" s="51">
        <v>780</v>
      </c>
      <c r="F73" s="51">
        <v>0</v>
      </c>
      <c r="G73" s="51">
        <f t="shared" si="9"/>
        <v>280</v>
      </c>
      <c r="H73" s="54">
        <f>100-100</f>
        <v>0</v>
      </c>
      <c r="I73" s="54"/>
      <c r="J73" s="54"/>
      <c r="K73" s="54">
        <f>500</f>
        <v>500</v>
      </c>
      <c r="L73" s="54"/>
      <c r="M73" s="55"/>
      <c r="N73" s="67">
        <v>0.73</v>
      </c>
      <c r="O73" s="72"/>
    </row>
    <row r="74" spans="1:15" s="50" customFormat="1" ht="76.5" x14ac:dyDescent="0.2">
      <c r="A74" s="46">
        <f t="shared" si="0"/>
        <v>63</v>
      </c>
      <c r="B74" s="46" t="s">
        <v>375</v>
      </c>
      <c r="C74" s="68" t="s">
        <v>464</v>
      </c>
      <c r="D74" s="69" t="s">
        <v>465</v>
      </c>
      <c r="E74" s="46">
        <v>30</v>
      </c>
      <c r="F74" s="46" t="s">
        <v>375</v>
      </c>
      <c r="G74" s="46" t="s">
        <v>375</v>
      </c>
      <c r="H74" s="46" t="s">
        <v>375</v>
      </c>
      <c r="I74" s="46" t="s">
        <v>375</v>
      </c>
      <c r="J74" s="46" t="s">
        <v>375</v>
      </c>
      <c r="K74" s="46"/>
      <c r="L74" s="46" t="s">
        <v>375</v>
      </c>
      <c r="M74" s="46" t="s">
        <v>375</v>
      </c>
      <c r="N74" s="49" t="s">
        <v>375</v>
      </c>
    </row>
    <row r="75" spans="1:15" s="50" customFormat="1" ht="51.75" customHeight="1" x14ac:dyDescent="0.2">
      <c r="A75" s="51">
        <f t="shared" si="0"/>
        <v>64</v>
      </c>
      <c r="B75" s="51">
        <v>7</v>
      </c>
      <c r="C75" s="53" t="s">
        <v>466</v>
      </c>
      <c r="D75" s="70" t="s">
        <v>391</v>
      </c>
      <c r="E75" s="51">
        <v>1690</v>
      </c>
      <c r="F75" s="51">
        <f>0</f>
        <v>0</v>
      </c>
      <c r="G75" s="51">
        <f t="shared" ref="G75:G81" si="10">E75-F75-H75-I75-J75-L75-K75</f>
        <v>590</v>
      </c>
      <c r="H75" s="54">
        <f>600-200</f>
        <v>400</v>
      </c>
      <c r="I75" s="54"/>
      <c r="J75" s="54"/>
      <c r="K75" s="54">
        <v>700</v>
      </c>
      <c r="L75" s="54"/>
      <c r="M75" s="55"/>
      <c r="N75" s="56">
        <v>0.43</v>
      </c>
      <c r="O75" s="72"/>
    </row>
    <row r="76" spans="1:15" s="50" customFormat="1" ht="69.75" customHeight="1" x14ac:dyDescent="0.2">
      <c r="A76" s="51">
        <f t="shared" si="0"/>
        <v>65</v>
      </c>
      <c r="B76" s="51">
        <v>7</v>
      </c>
      <c r="C76" s="53" t="s">
        <v>467</v>
      </c>
      <c r="D76" s="70" t="s">
        <v>468</v>
      </c>
      <c r="E76" s="51">
        <v>260</v>
      </c>
      <c r="F76" s="51">
        <f>0</f>
        <v>0</v>
      </c>
      <c r="G76" s="51">
        <f t="shared" si="10"/>
        <v>260</v>
      </c>
      <c r="H76" s="54">
        <f>200-200</f>
        <v>0</v>
      </c>
      <c r="I76" s="54"/>
      <c r="J76" s="54"/>
      <c r="K76" s="54"/>
      <c r="L76" s="54"/>
      <c r="M76" s="55"/>
      <c r="N76" s="56">
        <v>6.5</v>
      </c>
      <c r="O76" s="72"/>
    </row>
    <row r="77" spans="1:15" s="50" customFormat="1" ht="45.75" customHeight="1" x14ac:dyDescent="0.2">
      <c r="A77" s="51">
        <f t="shared" si="0"/>
        <v>66</v>
      </c>
      <c r="B77" s="51">
        <v>3</v>
      </c>
      <c r="C77" s="53" t="s">
        <v>469</v>
      </c>
      <c r="D77" s="70" t="s">
        <v>391</v>
      </c>
      <c r="E77" s="51">
        <v>200</v>
      </c>
      <c r="F77" s="51">
        <f>0</f>
        <v>0</v>
      </c>
      <c r="G77" s="51">
        <f t="shared" si="10"/>
        <v>50</v>
      </c>
      <c r="H77" s="54"/>
      <c r="I77" s="54"/>
      <c r="J77" s="54"/>
      <c r="K77" s="54">
        <v>150</v>
      </c>
      <c r="L77" s="54"/>
      <c r="M77" s="55"/>
      <c r="N77" s="56">
        <v>2.98</v>
      </c>
    </row>
    <row r="78" spans="1:15" s="50" customFormat="1" ht="31.5" customHeight="1" x14ac:dyDescent="0.2">
      <c r="A78" s="51">
        <f t="shared" ref="A78:A135" si="11">A77+1</f>
        <v>67</v>
      </c>
      <c r="B78" s="51">
        <v>2</v>
      </c>
      <c r="C78" s="53" t="s">
        <v>470</v>
      </c>
      <c r="D78" s="70" t="s">
        <v>405</v>
      </c>
      <c r="E78" s="51">
        <v>130</v>
      </c>
      <c r="F78" s="51">
        <f>0</f>
        <v>0</v>
      </c>
      <c r="G78" s="51">
        <f t="shared" si="10"/>
        <v>30</v>
      </c>
      <c r="H78" s="54">
        <v>52</v>
      </c>
      <c r="I78" s="54"/>
      <c r="J78" s="54"/>
      <c r="K78" s="54"/>
      <c r="L78" s="54">
        <v>48</v>
      </c>
      <c r="M78" s="55"/>
      <c r="N78" s="56">
        <v>2.6</v>
      </c>
    </row>
    <row r="79" spans="1:15" s="50" customFormat="1" ht="61.5" customHeight="1" x14ac:dyDescent="0.2">
      <c r="A79" s="51">
        <f t="shared" si="11"/>
        <v>68</v>
      </c>
      <c r="B79" s="51">
        <v>4</v>
      </c>
      <c r="C79" s="66" t="s">
        <v>471</v>
      </c>
      <c r="D79" s="71" t="s">
        <v>405</v>
      </c>
      <c r="E79" s="51">
        <v>65</v>
      </c>
      <c r="F79" s="51">
        <f>0</f>
        <v>0</v>
      </c>
      <c r="G79" s="51">
        <f t="shared" si="10"/>
        <v>15</v>
      </c>
      <c r="H79" s="54">
        <v>50</v>
      </c>
      <c r="I79" s="54"/>
      <c r="J79" s="54"/>
      <c r="K79" s="54"/>
      <c r="L79" s="54"/>
      <c r="M79" s="55"/>
      <c r="N79" s="67">
        <v>14.59</v>
      </c>
    </row>
    <row r="80" spans="1:15" s="50" customFormat="1" ht="42.75" customHeight="1" x14ac:dyDescent="0.2">
      <c r="A80" s="51">
        <f t="shared" si="11"/>
        <v>69</v>
      </c>
      <c r="B80" s="51">
        <v>1</v>
      </c>
      <c r="C80" s="53" t="s">
        <v>472</v>
      </c>
      <c r="D80" s="70" t="s">
        <v>473</v>
      </c>
      <c r="E80" s="51">
        <v>200</v>
      </c>
      <c r="F80" s="51">
        <f>0</f>
        <v>0</v>
      </c>
      <c r="G80" s="51">
        <f t="shared" si="10"/>
        <v>50</v>
      </c>
      <c r="H80" s="54"/>
      <c r="I80" s="54"/>
      <c r="J80" s="54"/>
      <c r="K80" s="54">
        <v>50</v>
      </c>
      <c r="L80" s="54">
        <v>100</v>
      </c>
      <c r="M80" s="55"/>
      <c r="N80" s="56">
        <v>5</v>
      </c>
    </row>
    <row r="81" spans="1:15" s="50" customFormat="1" ht="51" x14ac:dyDescent="0.2">
      <c r="A81" s="51">
        <f t="shared" si="11"/>
        <v>70</v>
      </c>
      <c r="B81" s="51">
        <v>3</v>
      </c>
      <c r="C81" s="53" t="s">
        <v>474</v>
      </c>
      <c r="D81" s="70" t="s">
        <v>475</v>
      </c>
      <c r="E81" s="51">
        <v>260</v>
      </c>
      <c r="F81" s="51">
        <f>0</f>
        <v>0</v>
      </c>
      <c r="G81" s="51">
        <f t="shared" si="10"/>
        <v>60</v>
      </c>
      <c r="H81" s="54">
        <v>200</v>
      </c>
      <c r="I81" s="54"/>
      <c r="J81" s="54"/>
      <c r="K81" s="54"/>
      <c r="L81" s="54"/>
      <c r="M81" s="55"/>
      <c r="N81" s="56">
        <v>5.84</v>
      </c>
    </row>
    <row r="82" spans="1:15" s="50" customFormat="1" ht="63.75" x14ac:dyDescent="0.2">
      <c r="A82" s="46">
        <f t="shared" si="11"/>
        <v>71</v>
      </c>
      <c r="B82" s="46" t="s">
        <v>375</v>
      </c>
      <c r="C82" s="68" t="s">
        <v>476</v>
      </c>
      <c r="D82" s="69" t="s">
        <v>477</v>
      </c>
      <c r="E82" s="46">
        <v>780</v>
      </c>
      <c r="F82" s="46" t="s">
        <v>375</v>
      </c>
      <c r="G82" s="46" t="s">
        <v>375</v>
      </c>
      <c r="H82" s="46" t="s">
        <v>375</v>
      </c>
      <c r="I82" s="46" t="s">
        <v>375</v>
      </c>
      <c r="J82" s="46" t="s">
        <v>375</v>
      </c>
      <c r="K82" s="46"/>
      <c r="L82" s="46" t="s">
        <v>375</v>
      </c>
      <c r="M82" s="46" t="s">
        <v>375</v>
      </c>
      <c r="N82" s="49" t="s">
        <v>375</v>
      </c>
    </row>
    <row r="83" spans="1:15" s="50" customFormat="1" ht="38.25" x14ac:dyDescent="0.2">
      <c r="A83" s="46">
        <f t="shared" si="11"/>
        <v>72</v>
      </c>
      <c r="B83" s="46" t="s">
        <v>375</v>
      </c>
      <c r="C83" s="68" t="s">
        <v>478</v>
      </c>
      <c r="D83" s="69" t="s">
        <v>479</v>
      </c>
      <c r="E83" s="46">
        <v>10</v>
      </c>
      <c r="F83" s="46" t="s">
        <v>375</v>
      </c>
      <c r="G83" s="46" t="s">
        <v>375</v>
      </c>
      <c r="H83" s="46" t="s">
        <v>375</v>
      </c>
      <c r="I83" s="46" t="s">
        <v>375</v>
      </c>
      <c r="J83" s="46" t="s">
        <v>375</v>
      </c>
      <c r="K83" s="46"/>
      <c r="L83" s="46" t="s">
        <v>375</v>
      </c>
      <c r="M83" s="46" t="s">
        <v>375</v>
      </c>
      <c r="N83" s="49" t="s">
        <v>375</v>
      </c>
    </row>
    <row r="84" spans="1:15" s="50" customFormat="1" ht="38.25" x14ac:dyDescent="0.2">
      <c r="A84" s="51">
        <f t="shared" si="11"/>
        <v>73</v>
      </c>
      <c r="B84" s="51">
        <v>4</v>
      </c>
      <c r="C84" s="66" t="s">
        <v>480</v>
      </c>
      <c r="D84" s="71" t="s">
        <v>412</v>
      </c>
      <c r="E84" s="51">
        <v>100</v>
      </c>
      <c r="F84" s="51">
        <f>0</f>
        <v>0</v>
      </c>
      <c r="G84" s="51">
        <f t="shared" ref="G84:G90" si="12">E84-F84-H84-I84-J84-L84-K84</f>
        <v>50</v>
      </c>
      <c r="H84" s="54">
        <f>60-10</f>
        <v>50</v>
      </c>
      <c r="I84" s="54"/>
      <c r="J84" s="54"/>
      <c r="K84" s="54"/>
      <c r="L84" s="54"/>
      <c r="M84" s="55"/>
      <c r="N84" s="67">
        <v>1.07</v>
      </c>
      <c r="O84" s="72"/>
    </row>
    <row r="85" spans="1:15" s="50" customFormat="1" ht="45" customHeight="1" x14ac:dyDescent="0.2">
      <c r="A85" s="51">
        <f t="shared" si="11"/>
        <v>74</v>
      </c>
      <c r="B85" s="51">
        <v>5</v>
      </c>
      <c r="C85" s="53" t="s">
        <v>481</v>
      </c>
      <c r="D85" s="70" t="s">
        <v>482</v>
      </c>
      <c r="E85" s="51">
        <v>200</v>
      </c>
      <c r="F85" s="51">
        <f>0</f>
        <v>0</v>
      </c>
      <c r="G85" s="51">
        <f t="shared" si="12"/>
        <v>50</v>
      </c>
      <c r="H85" s="54"/>
      <c r="I85" s="54"/>
      <c r="J85" s="54"/>
      <c r="K85" s="54">
        <v>150</v>
      </c>
      <c r="L85" s="54"/>
      <c r="M85" s="55"/>
      <c r="N85" s="56">
        <v>46.44</v>
      </c>
    </row>
    <row r="86" spans="1:15" s="50" customFormat="1" ht="53.25" customHeight="1" x14ac:dyDescent="0.2">
      <c r="A86" s="51">
        <f t="shared" si="11"/>
        <v>75</v>
      </c>
      <c r="B86" s="51">
        <v>4</v>
      </c>
      <c r="C86" s="66" t="s">
        <v>483</v>
      </c>
      <c r="D86" s="71" t="s">
        <v>403</v>
      </c>
      <c r="E86" s="51">
        <v>65</v>
      </c>
      <c r="F86" s="51">
        <f>0</f>
        <v>0</v>
      </c>
      <c r="G86" s="51">
        <f t="shared" si="12"/>
        <v>15</v>
      </c>
      <c r="H86" s="54">
        <v>50</v>
      </c>
      <c r="I86" s="54"/>
      <c r="J86" s="54"/>
      <c r="K86" s="54"/>
      <c r="L86" s="54"/>
      <c r="M86" s="55"/>
      <c r="N86" s="67">
        <v>0.46</v>
      </c>
    </row>
    <row r="87" spans="1:15" s="50" customFormat="1" ht="25.5" x14ac:dyDescent="0.2">
      <c r="A87" s="51">
        <f t="shared" si="11"/>
        <v>76</v>
      </c>
      <c r="B87" s="51">
        <v>3</v>
      </c>
      <c r="C87" s="53" t="s">
        <v>484</v>
      </c>
      <c r="D87" s="70" t="s">
        <v>381</v>
      </c>
      <c r="E87" s="51">
        <v>260</v>
      </c>
      <c r="F87" s="51">
        <f>0</f>
        <v>0</v>
      </c>
      <c r="G87" s="51">
        <f t="shared" si="12"/>
        <v>160</v>
      </c>
      <c r="H87" s="54">
        <f>200-100</f>
        <v>100</v>
      </c>
      <c r="I87" s="54"/>
      <c r="J87" s="54"/>
      <c r="K87" s="54"/>
      <c r="L87" s="54"/>
      <c r="M87" s="55"/>
      <c r="N87" s="56">
        <v>20</v>
      </c>
      <c r="O87" s="72"/>
    </row>
    <row r="88" spans="1:15" s="50" customFormat="1" ht="38.25" x14ac:dyDescent="0.2">
      <c r="A88" s="51">
        <f t="shared" si="11"/>
        <v>77</v>
      </c>
      <c r="B88" s="51">
        <v>2</v>
      </c>
      <c r="C88" s="53" t="s">
        <v>485</v>
      </c>
      <c r="D88" s="70" t="s">
        <v>431</v>
      </c>
      <c r="E88" s="51">
        <v>35</v>
      </c>
      <c r="F88" s="51">
        <f>0</f>
        <v>0</v>
      </c>
      <c r="G88" s="51">
        <f t="shared" si="12"/>
        <v>20</v>
      </c>
      <c r="H88" s="54">
        <f>25-10</f>
        <v>15</v>
      </c>
      <c r="I88" s="54"/>
      <c r="J88" s="54"/>
      <c r="K88" s="54"/>
      <c r="L88" s="54"/>
      <c r="M88" s="55"/>
      <c r="N88" s="56">
        <v>2.09</v>
      </c>
      <c r="O88" s="72"/>
    </row>
    <row r="89" spans="1:15" s="50" customFormat="1" ht="38.25" x14ac:dyDescent="0.2">
      <c r="A89" s="51">
        <f t="shared" si="11"/>
        <v>78</v>
      </c>
      <c r="B89" s="51">
        <v>4</v>
      </c>
      <c r="C89" s="66" t="s">
        <v>486</v>
      </c>
      <c r="D89" s="71" t="s">
        <v>383</v>
      </c>
      <c r="E89" s="51">
        <v>1300</v>
      </c>
      <c r="F89" s="51">
        <f>0</f>
        <v>0</v>
      </c>
      <c r="G89" s="51">
        <f t="shared" si="12"/>
        <v>900</v>
      </c>
      <c r="H89" s="54">
        <f>500-100</f>
        <v>400</v>
      </c>
      <c r="I89" s="54"/>
      <c r="J89" s="54"/>
      <c r="K89" s="54"/>
      <c r="L89" s="54"/>
      <c r="M89" s="55"/>
      <c r="N89" s="67">
        <v>1.96</v>
      </c>
      <c r="O89" s="72"/>
    </row>
    <row r="90" spans="1:15" s="50" customFormat="1" ht="38.25" x14ac:dyDescent="0.2">
      <c r="A90" s="51">
        <f t="shared" si="11"/>
        <v>79</v>
      </c>
      <c r="B90" s="51">
        <v>4</v>
      </c>
      <c r="C90" s="66" t="s">
        <v>486</v>
      </c>
      <c r="D90" s="71" t="s">
        <v>412</v>
      </c>
      <c r="E90" s="51">
        <v>390</v>
      </c>
      <c r="F90" s="51">
        <f>0</f>
        <v>0</v>
      </c>
      <c r="G90" s="51">
        <f t="shared" si="12"/>
        <v>90</v>
      </c>
      <c r="H90" s="54"/>
      <c r="I90" s="54">
        <v>60</v>
      </c>
      <c r="J90" s="54"/>
      <c r="K90" s="54">
        <v>240</v>
      </c>
      <c r="L90" s="54"/>
      <c r="M90" s="55"/>
      <c r="N90" s="67">
        <v>3.69</v>
      </c>
    </row>
    <row r="91" spans="1:15" s="50" customFormat="1" ht="51" x14ac:dyDescent="0.2">
      <c r="A91" s="46">
        <f t="shared" si="11"/>
        <v>80</v>
      </c>
      <c r="B91" s="46" t="s">
        <v>375</v>
      </c>
      <c r="C91" s="68" t="s">
        <v>487</v>
      </c>
      <c r="D91" s="69" t="s">
        <v>389</v>
      </c>
      <c r="E91" s="46">
        <v>30</v>
      </c>
      <c r="F91" s="46" t="s">
        <v>375</v>
      </c>
      <c r="G91" s="46" t="s">
        <v>375</v>
      </c>
      <c r="H91" s="46" t="s">
        <v>375</v>
      </c>
      <c r="I91" s="46" t="s">
        <v>375</v>
      </c>
      <c r="J91" s="46" t="s">
        <v>375</v>
      </c>
      <c r="K91" s="46"/>
      <c r="L91" s="46" t="s">
        <v>375</v>
      </c>
      <c r="M91" s="46" t="s">
        <v>375</v>
      </c>
      <c r="N91" s="49" t="s">
        <v>375</v>
      </c>
    </row>
    <row r="92" spans="1:15" s="50" customFormat="1" ht="25.5" x14ac:dyDescent="0.2">
      <c r="A92" s="46">
        <f t="shared" si="11"/>
        <v>81</v>
      </c>
      <c r="B92" s="46" t="s">
        <v>375</v>
      </c>
      <c r="C92" s="68" t="s">
        <v>488</v>
      </c>
      <c r="D92" s="69" t="s">
        <v>405</v>
      </c>
      <c r="E92" s="46">
        <v>780</v>
      </c>
      <c r="F92" s="46" t="s">
        <v>375</v>
      </c>
      <c r="G92" s="46" t="s">
        <v>375</v>
      </c>
      <c r="H92" s="46" t="s">
        <v>375</v>
      </c>
      <c r="I92" s="46" t="s">
        <v>375</v>
      </c>
      <c r="J92" s="46" t="s">
        <v>375</v>
      </c>
      <c r="K92" s="46"/>
      <c r="L92" s="46" t="s">
        <v>375</v>
      </c>
      <c r="M92" s="46" t="s">
        <v>375</v>
      </c>
      <c r="N92" s="49" t="s">
        <v>375</v>
      </c>
    </row>
    <row r="93" spans="1:15" s="50" customFormat="1" ht="63.75" x14ac:dyDescent="0.2">
      <c r="A93" s="46">
        <f t="shared" si="11"/>
        <v>82</v>
      </c>
      <c r="B93" s="46" t="s">
        <v>375</v>
      </c>
      <c r="C93" s="68" t="s">
        <v>489</v>
      </c>
      <c r="D93" s="69" t="s">
        <v>490</v>
      </c>
      <c r="E93" s="46">
        <v>10</v>
      </c>
      <c r="F93" s="46" t="s">
        <v>375</v>
      </c>
      <c r="G93" s="46" t="s">
        <v>375</v>
      </c>
      <c r="H93" s="46" t="s">
        <v>375</v>
      </c>
      <c r="I93" s="46" t="s">
        <v>375</v>
      </c>
      <c r="J93" s="46" t="s">
        <v>375</v>
      </c>
      <c r="K93" s="46"/>
      <c r="L93" s="46" t="s">
        <v>375</v>
      </c>
      <c r="M93" s="46" t="s">
        <v>375</v>
      </c>
      <c r="N93" s="49" t="s">
        <v>375</v>
      </c>
    </row>
    <row r="94" spans="1:15" s="50" customFormat="1" ht="51" x14ac:dyDescent="0.2">
      <c r="A94" s="51">
        <f t="shared" si="11"/>
        <v>83</v>
      </c>
      <c r="B94" s="51">
        <v>4</v>
      </c>
      <c r="C94" s="66" t="s">
        <v>491</v>
      </c>
      <c r="D94" s="71" t="s">
        <v>401</v>
      </c>
      <c r="E94" s="51">
        <v>1170</v>
      </c>
      <c r="F94" s="51">
        <f>0</f>
        <v>0</v>
      </c>
      <c r="G94" s="51">
        <f>E94-F94-H94-I94-J94-L94-K94</f>
        <v>270</v>
      </c>
      <c r="H94" s="54">
        <v>600</v>
      </c>
      <c r="I94" s="54"/>
      <c r="J94" s="54"/>
      <c r="K94" s="54">
        <v>300</v>
      </c>
      <c r="L94" s="54"/>
      <c r="M94" s="55"/>
      <c r="N94" s="67">
        <v>0.55000000000000004</v>
      </c>
    </row>
    <row r="95" spans="1:15" s="50" customFormat="1" ht="38.25" x14ac:dyDescent="0.2">
      <c r="A95" s="46">
        <f t="shared" si="11"/>
        <v>84</v>
      </c>
      <c r="B95" s="46" t="s">
        <v>375</v>
      </c>
      <c r="C95" s="68" t="s">
        <v>492</v>
      </c>
      <c r="D95" s="69" t="s">
        <v>493</v>
      </c>
      <c r="E95" s="46">
        <v>325</v>
      </c>
      <c r="F95" s="46" t="s">
        <v>375</v>
      </c>
      <c r="G95" s="46" t="s">
        <v>375</v>
      </c>
      <c r="H95" s="46" t="s">
        <v>375</v>
      </c>
      <c r="I95" s="46" t="s">
        <v>375</v>
      </c>
      <c r="J95" s="46" t="s">
        <v>375</v>
      </c>
      <c r="K95" s="46"/>
      <c r="L95" s="46" t="s">
        <v>375</v>
      </c>
      <c r="M95" s="46" t="s">
        <v>375</v>
      </c>
      <c r="N95" s="49" t="s">
        <v>375</v>
      </c>
    </row>
    <row r="96" spans="1:15" s="50" customFormat="1" ht="37.5" customHeight="1" x14ac:dyDescent="0.2">
      <c r="A96" s="51">
        <f t="shared" si="11"/>
        <v>85</v>
      </c>
      <c r="B96" s="51">
        <v>2</v>
      </c>
      <c r="C96" s="53" t="s">
        <v>494</v>
      </c>
      <c r="D96" s="70" t="s">
        <v>393</v>
      </c>
      <c r="E96" s="51">
        <v>650</v>
      </c>
      <c r="F96" s="51">
        <f>0</f>
        <v>0</v>
      </c>
      <c r="G96" s="51">
        <f t="shared" ref="G96:G98" si="13">E96-F96-H96-I96-J96-L96-K96</f>
        <v>100</v>
      </c>
      <c r="H96" s="54">
        <v>50</v>
      </c>
      <c r="I96" s="54"/>
      <c r="J96" s="54"/>
      <c r="K96" s="54">
        <v>500</v>
      </c>
      <c r="L96" s="54"/>
      <c r="M96" s="55"/>
      <c r="N96" s="56">
        <v>3.5</v>
      </c>
    </row>
    <row r="97" spans="1:15" s="50" customFormat="1" ht="51" x14ac:dyDescent="0.2">
      <c r="A97" s="51">
        <f t="shared" si="11"/>
        <v>86</v>
      </c>
      <c r="B97" s="51">
        <v>4</v>
      </c>
      <c r="C97" s="66" t="s">
        <v>495</v>
      </c>
      <c r="D97" s="71" t="s">
        <v>405</v>
      </c>
      <c r="E97" s="51">
        <v>1350</v>
      </c>
      <c r="F97" s="51">
        <f>0</f>
        <v>0</v>
      </c>
      <c r="G97" s="51">
        <f t="shared" si="13"/>
        <v>330</v>
      </c>
      <c r="H97" s="54">
        <v>20</v>
      </c>
      <c r="I97" s="54"/>
      <c r="J97" s="54"/>
      <c r="K97" s="54">
        <v>1000</v>
      </c>
      <c r="L97" s="54"/>
      <c r="M97" s="55"/>
      <c r="N97" s="67">
        <v>3.23</v>
      </c>
    </row>
    <row r="98" spans="1:15" s="50" customFormat="1" ht="51" x14ac:dyDescent="0.2">
      <c r="A98" s="51">
        <f t="shared" si="11"/>
        <v>87</v>
      </c>
      <c r="B98" s="51">
        <v>2</v>
      </c>
      <c r="C98" s="53" t="s">
        <v>496</v>
      </c>
      <c r="D98" s="70" t="s">
        <v>405</v>
      </c>
      <c r="E98" s="51">
        <v>65</v>
      </c>
      <c r="F98" s="51">
        <f>0</f>
        <v>0</v>
      </c>
      <c r="G98" s="51">
        <f t="shared" si="13"/>
        <v>15</v>
      </c>
      <c r="H98" s="54">
        <v>50</v>
      </c>
      <c r="I98" s="54"/>
      <c r="J98" s="54"/>
      <c r="K98" s="54"/>
      <c r="L98" s="54"/>
      <c r="M98" s="55"/>
      <c r="N98" s="56">
        <v>7.25</v>
      </c>
    </row>
    <row r="99" spans="1:15" s="50" customFormat="1" ht="38.25" x14ac:dyDescent="0.2">
      <c r="A99" s="46">
        <f t="shared" si="11"/>
        <v>88</v>
      </c>
      <c r="B99" s="46" t="s">
        <v>375</v>
      </c>
      <c r="C99" s="68" t="s">
        <v>497</v>
      </c>
      <c r="D99" s="69" t="s">
        <v>405</v>
      </c>
      <c r="E99" s="46">
        <v>5</v>
      </c>
      <c r="F99" s="46" t="s">
        <v>375</v>
      </c>
      <c r="G99" s="46" t="s">
        <v>375</v>
      </c>
      <c r="H99" s="46" t="s">
        <v>375</v>
      </c>
      <c r="I99" s="46" t="s">
        <v>375</v>
      </c>
      <c r="J99" s="46" t="s">
        <v>375</v>
      </c>
      <c r="K99" s="46"/>
      <c r="L99" s="46" t="s">
        <v>375</v>
      </c>
      <c r="M99" s="46" t="s">
        <v>375</v>
      </c>
      <c r="N99" s="49" t="s">
        <v>375</v>
      </c>
    </row>
    <row r="100" spans="1:15" s="50" customFormat="1" ht="51" x14ac:dyDescent="0.2">
      <c r="A100" s="51">
        <f t="shared" si="11"/>
        <v>89</v>
      </c>
      <c r="B100" s="51">
        <v>7</v>
      </c>
      <c r="C100" s="53" t="s">
        <v>498</v>
      </c>
      <c r="D100" s="70" t="s">
        <v>405</v>
      </c>
      <c r="E100" s="51">
        <v>65</v>
      </c>
      <c r="F100" s="51">
        <f>0</f>
        <v>0</v>
      </c>
      <c r="G100" s="51">
        <f t="shared" ref="G100:G101" si="14">E100-F100-H100-I100-J100-L100-K100</f>
        <v>17</v>
      </c>
      <c r="H100" s="54"/>
      <c r="I100" s="54"/>
      <c r="J100" s="54"/>
      <c r="K100" s="54"/>
      <c r="L100" s="54">
        <v>48</v>
      </c>
      <c r="M100" s="55"/>
      <c r="N100" s="56">
        <v>6.1</v>
      </c>
    </row>
    <row r="101" spans="1:15" s="50" customFormat="1" ht="31.5" customHeight="1" x14ac:dyDescent="0.2">
      <c r="A101" s="51">
        <f t="shared" si="11"/>
        <v>90</v>
      </c>
      <c r="B101" s="51">
        <v>4</v>
      </c>
      <c r="C101" s="66" t="s">
        <v>499</v>
      </c>
      <c r="D101" s="71" t="s">
        <v>500</v>
      </c>
      <c r="E101" s="51">
        <v>217</v>
      </c>
      <c r="F101" s="51">
        <f>0</f>
        <v>0</v>
      </c>
      <c r="G101" s="51">
        <f t="shared" si="14"/>
        <v>142</v>
      </c>
      <c r="H101" s="54">
        <f>125-50</f>
        <v>75</v>
      </c>
      <c r="I101" s="54"/>
      <c r="J101" s="54"/>
      <c r="K101" s="54"/>
      <c r="L101" s="54"/>
      <c r="M101" s="55"/>
      <c r="N101" s="67">
        <v>2.62</v>
      </c>
      <c r="O101" s="72"/>
    </row>
    <row r="102" spans="1:15" s="50" customFormat="1" ht="63.75" x14ac:dyDescent="0.2">
      <c r="A102" s="46">
        <f t="shared" si="11"/>
        <v>91</v>
      </c>
      <c r="B102" s="46" t="s">
        <v>375</v>
      </c>
      <c r="C102" s="68" t="s">
        <v>501</v>
      </c>
      <c r="D102" s="69" t="s">
        <v>502</v>
      </c>
      <c r="E102" s="46">
        <v>65</v>
      </c>
      <c r="F102" s="46" t="s">
        <v>375</v>
      </c>
      <c r="G102" s="46" t="s">
        <v>375</v>
      </c>
      <c r="H102" s="46" t="s">
        <v>375</v>
      </c>
      <c r="I102" s="46" t="s">
        <v>375</v>
      </c>
      <c r="J102" s="46" t="s">
        <v>375</v>
      </c>
      <c r="K102" s="46"/>
      <c r="L102" s="46" t="s">
        <v>375</v>
      </c>
      <c r="M102" s="46" t="s">
        <v>375</v>
      </c>
      <c r="N102" s="49" t="s">
        <v>375</v>
      </c>
    </row>
    <row r="103" spans="1:15" s="50" customFormat="1" ht="30" customHeight="1" x14ac:dyDescent="0.2">
      <c r="A103" s="51">
        <f t="shared" si="11"/>
        <v>92</v>
      </c>
      <c r="B103" s="51">
        <v>4</v>
      </c>
      <c r="C103" s="66" t="s">
        <v>503</v>
      </c>
      <c r="D103" s="71" t="s">
        <v>504</v>
      </c>
      <c r="E103" s="51">
        <v>33</v>
      </c>
      <c r="F103" s="51">
        <f>0</f>
        <v>0</v>
      </c>
      <c r="G103" s="51">
        <f t="shared" ref="G103:G107" si="15">E103-F103-H103-I103-J103-L103-K103</f>
        <v>26</v>
      </c>
      <c r="H103" s="54">
        <f>25-18</f>
        <v>7</v>
      </c>
      <c r="I103" s="54"/>
      <c r="J103" s="54"/>
      <c r="K103" s="54"/>
      <c r="L103" s="54"/>
      <c r="M103" s="55"/>
      <c r="N103" s="67">
        <v>5.85</v>
      </c>
      <c r="O103" s="72"/>
    </row>
    <row r="104" spans="1:15" s="50" customFormat="1" ht="51.75" customHeight="1" x14ac:dyDescent="0.2">
      <c r="A104" s="51">
        <f t="shared" si="11"/>
        <v>93</v>
      </c>
      <c r="B104" s="51">
        <v>2</v>
      </c>
      <c r="C104" s="53" t="s">
        <v>505</v>
      </c>
      <c r="D104" s="70" t="s">
        <v>401</v>
      </c>
      <c r="E104" s="51">
        <v>1750</v>
      </c>
      <c r="F104" s="51">
        <f>0</f>
        <v>0</v>
      </c>
      <c r="G104" s="51">
        <f t="shared" si="15"/>
        <v>426</v>
      </c>
      <c r="H104" s="54"/>
      <c r="I104" s="54"/>
      <c r="J104" s="54"/>
      <c r="K104" s="54">
        <v>1300</v>
      </c>
      <c r="L104" s="54">
        <v>24</v>
      </c>
      <c r="M104" s="55"/>
      <c r="N104" s="56">
        <v>2.3199999999999998</v>
      </c>
    </row>
    <row r="105" spans="1:15" s="50" customFormat="1" ht="36.75" customHeight="1" x14ac:dyDescent="0.2">
      <c r="A105" s="51">
        <f t="shared" si="11"/>
        <v>94</v>
      </c>
      <c r="B105" s="51">
        <v>2</v>
      </c>
      <c r="C105" s="53" t="s">
        <v>506</v>
      </c>
      <c r="D105" s="70" t="s">
        <v>397</v>
      </c>
      <c r="E105" s="51">
        <v>195</v>
      </c>
      <c r="F105" s="51">
        <f>0</f>
        <v>0</v>
      </c>
      <c r="G105" s="51">
        <f t="shared" si="15"/>
        <v>120</v>
      </c>
      <c r="H105" s="54">
        <f>150-75</f>
        <v>75</v>
      </c>
      <c r="I105" s="54"/>
      <c r="J105" s="54"/>
      <c r="K105" s="54"/>
      <c r="L105" s="54"/>
      <c r="M105" s="55"/>
      <c r="N105" s="56">
        <v>3.56</v>
      </c>
      <c r="O105" s="72"/>
    </row>
    <row r="106" spans="1:15" s="50" customFormat="1" ht="48" customHeight="1" x14ac:dyDescent="0.2">
      <c r="A106" s="51">
        <f t="shared" si="11"/>
        <v>95</v>
      </c>
      <c r="B106" s="51">
        <v>3</v>
      </c>
      <c r="C106" s="53" t="s">
        <v>507</v>
      </c>
      <c r="D106" s="70" t="s">
        <v>508</v>
      </c>
      <c r="E106" s="51">
        <v>347</v>
      </c>
      <c r="F106" s="51">
        <f>0</f>
        <v>0</v>
      </c>
      <c r="G106" s="51">
        <f t="shared" si="15"/>
        <v>157</v>
      </c>
      <c r="H106" s="54">
        <f>200-10</f>
        <v>190</v>
      </c>
      <c r="I106" s="54"/>
      <c r="J106" s="54"/>
      <c r="K106" s="54"/>
      <c r="L106" s="54"/>
      <c r="M106" s="55"/>
      <c r="N106" s="56">
        <v>3.58</v>
      </c>
      <c r="O106" s="72"/>
    </row>
    <row r="107" spans="1:15" s="50" customFormat="1" ht="46.5" customHeight="1" x14ac:dyDescent="0.2">
      <c r="A107" s="51">
        <f t="shared" si="11"/>
        <v>96</v>
      </c>
      <c r="B107" s="51">
        <v>3</v>
      </c>
      <c r="C107" s="53" t="s">
        <v>509</v>
      </c>
      <c r="D107" s="70" t="s">
        <v>510</v>
      </c>
      <c r="E107" s="51">
        <v>130</v>
      </c>
      <c r="F107" s="51">
        <f>0</f>
        <v>0</v>
      </c>
      <c r="G107" s="51">
        <f t="shared" si="15"/>
        <v>80</v>
      </c>
      <c r="H107" s="54">
        <f>100-50</f>
        <v>50</v>
      </c>
      <c r="I107" s="54"/>
      <c r="J107" s="54"/>
      <c r="K107" s="54"/>
      <c r="L107" s="54"/>
      <c r="M107" s="55"/>
      <c r="N107" s="56">
        <v>7.5</v>
      </c>
      <c r="O107" s="72"/>
    </row>
    <row r="108" spans="1:15" s="50" customFormat="1" ht="51.75" customHeight="1" x14ac:dyDescent="0.2">
      <c r="A108" s="46">
        <f t="shared" si="11"/>
        <v>97</v>
      </c>
      <c r="B108" s="46" t="s">
        <v>375</v>
      </c>
      <c r="C108" s="68" t="s">
        <v>511</v>
      </c>
      <c r="D108" s="69" t="s">
        <v>512</v>
      </c>
      <c r="E108" s="46">
        <v>5</v>
      </c>
      <c r="F108" s="46" t="s">
        <v>375</v>
      </c>
      <c r="G108" s="46" t="s">
        <v>375</v>
      </c>
      <c r="H108" s="46" t="s">
        <v>375</v>
      </c>
      <c r="I108" s="46" t="s">
        <v>375</v>
      </c>
      <c r="J108" s="46" t="s">
        <v>375</v>
      </c>
      <c r="K108" s="46"/>
      <c r="L108" s="46" t="s">
        <v>375</v>
      </c>
      <c r="M108" s="46" t="s">
        <v>375</v>
      </c>
      <c r="N108" s="49" t="s">
        <v>375</v>
      </c>
    </row>
    <row r="109" spans="1:15" s="50" customFormat="1" ht="46.5" customHeight="1" x14ac:dyDescent="0.2">
      <c r="A109" s="46">
        <f t="shared" si="11"/>
        <v>98</v>
      </c>
      <c r="B109" s="46" t="s">
        <v>375</v>
      </c>
      <c r="C109" s="68" t="s">
        <v>513</v>
      </c>
      <c r="D109" s="69" t="s">
        <v>428</v>
      </c>
      <c r="E109" s="46">
        <v>65</v>
      </c>
      <c r="F109" s="46" t="s">
        <v>375</v>
      </c>
      <c r="G109" s="46" t="s">
        <v>375</v>
      </c>
      <c r="H109" s="46" t="s">
        <v>375</v>
      </c>
      <c r="I109" s="46" t="s">
        <v>375</v>
      </c>
      <c r="J109" s="46" t="s">
        <v>375</v>
      </c>
      <c r="K109" s="46"/>
      <c r="L109" s="46" t="s">
        <v>375</v>
      </c>
      <c r="M109" s="46" t="s">
        <v>375</v>
      </c>
      <c r="N109" s="49" t="s">
        <v>375</v>
      </c>
    </row>
    <row r="110" spans="1:15" s="50" customFormat="1" ht="51.75" customHeight="1" x14ac:dyDescent="0.2">
      <c r="A110" s="46">
        <f t="shared" si="11"/>
        <v>99</v>
      </c>
      <c r="B110" s="46" t="s">
        <v>375</v>
      </c>
      <c r="C110" s="68" t="s">
        <v>514</v>
      </c>
      <c r="D110" s="69" t="s">
        <v>401</v>
      </c>
      <c r="E110" s="46">
        <v>325</v>
      </c>
      <c r="F110" s="46" t="s">
        <v>375</v>
      </c>
      <c r="G110" s="46" t="s">
        <v>375</v>
      </c>
      <c r="H110" s="46" t="s">
        <v>375</v>
      </c>
      <c r="I110" s="46" t="s">
        <v>375</v>
      </c>
      <c r="J110" s="46" t="s">
        <v>375</v>
      </c>
      <c r="K110" s="46"/>
      <c r="L110" s="46" t="s">
        <v>375</v>
      </c>
      <c r="M110" s="46" t="s">
        <v>375</v>
      </c>
      <c r="N110" s="49" t="s">
        <v>375</v>
      </c>
    </row>
    <row r="111" spans="1:15" s="50" customFormat="1" ht="51" x14ac:dyDescent="0.2">
      <c r="A111" s="51">
        <f t="shared" si="11"/>
        <v>100</v>
      </c>
      <c r="B111" s="51">
        <v>3</v>
      </c>
      <c r="C111" s="53" t="s">
        <v>515</v>
      </c>
      <c r="D111" s="70" t="s">
        <v>401</v>
      </c>
      <c r="E111" s="51">
        <v>650</v>
      </c>
      <c r="F111" s="51">
        <f>0</f>
        <v>0</v>
      </c>
      <c r="G111" s="51">
        <f>E111-F111-H111-I111-J111-L111-K111</f>
        <v>150</v>
      </c>
      <c r="H111" s="54">
        <v>300</v>
      </c>
      <c r="I111" s="54"/>
      <c r="J111" s="54"/>
      <c r="K111" s="54">
        <v>200</v>
      </c>
      <c r="L111" s="54"/>
      <c r="M111" s="55"/>
      <c r="N111" s="56">
        <v>2.2999999999999998</v>
      </c>
    </row>
    <row r="112" spans="1:15" s="50" customFormat="1" ht="55.5" customHeight="1" x14ac:dyDescent="0.2">
      <c r="A112" s="46">
        <f t="shared" si="11"/>
        <v>101</v>
      </c>
      <c r="B112" s="46" t="s">
        <v>375</v>
      </c>
      <c r="C112" s="68" t="s">
        <v>516</v>
      </c>
      <c r="D112" s="69" t="s">
        <v>412</v>
      </c>
      <c r="E112" s="46">
        <v>820</v>
      </c>
      <c r="F112" s="46" t="s">
        <v>375</v>
      </c>
      <c r="G112" s="46" t="s">
        <v>375</v>
      </c>
      <c r="H112" s="46" t="s">
        <v>375</v>
      </c>
      <c r="I112" s="46" t="s">
        <v>375</v>
      </c>
      <c r="J112" s="46" t="s">
        <v>375</v>
      </c>
      <c r="K112" s="46"/>
      <c r="L112" s="46" t="s">
        <v>375</v>
      </c>
      <c r="M112" s="46" t="s">
        <v>375</v>
      </c>
      <c r="N112" s="49" t="s">
        <v>375</v>
      </c>
    </row>
    <row r="113" spans="1:15" s="50" customFormat="1" ht="39.75" customHeight="1" x14ac:dyDescent="0.2">
      <c r="A113" s="51">
        <f t="shared" si="11"/>
        <v>102</v>
      </c>
      <c r="B113" s="51">
        <v>2</v>
      </c>
      <c r="C113" s="53" t="s">
        <v>517</v>
      </c>
      <c r="D113" s="70" t="s">
        <v>518</v>
      </c>
      <c r="E113" s="51">
        <v>65</v>
      </c>
      <c r="F113" s="51">
        <f>0</f>
        <v>0</v>
      </c>
      <c r="G113" s="51">
        <f t="shared" ref="G113:G114" si="16">E113-F113-H113-I113-J113-L113-K113</f>
        <v>65</v>
      </c>
      <c r="H113" s="54">
        <f>2-2</f>
        <v>0</v>
      </c>
      <c r="I113" s="54"/>
      <c r="J113" s="54"/>
      <c r="K113" s="54"/>
      <c r="L113" s="54"/>
      <c r="M113" s="55"/>
      <c r="N113" s="56">
        <v>3.67</v>
      </c>
      <c r="O113" s="72"/>
    </row>
    <row r="114" spans="1:15" s="50" customFormat="1" ht="38.25" x14ac:dyDescent="0.2">
      <c r="A114" s="51">
        <f t="shared" si="11"/>
        <v>103</v>
      </c>
      <c r="B114" s="51">
        <v>4</v>
      </c>
      <c r="C114" s="66" t="s">
        <v>519</v>
      </c>
      <c r="D114" s="71" t="s">
        <v>401</v>
      </c>
      <c r="E114" s="51">
        <v>1820</v>
      </c>
      <c r="F114" s="51">
        <f>0</f>
        <v>0</v>
      </c>
      <c r="G114" s="51">
        <f t="shared" si="16"/>
        <v>620</v>
      </c>
      <c r="H114" s="54">
        <f>400-200</f>
        <v>200</v>
      </c>
      <c r="I114" s="54"/>
      <c r="J114" s="54"/>
      <c r="K114" s="54">
        <v>1000</v>
      </c>
      <c r="L114" s="54"/>
      <c r="M114" s="55"/>
      <c r="N114" s="67">
        <v>1.25</v>
      </c>
      <c r="O114" s="72"/>
    </row>
    <row r="115" spans="1:15" s="50" customFormat="1" ht="44.25" customHeight="1" x14ac:dyDescent="0.2">
      <c r="A115" s="46">
        <f t="shared" si="11"/>
        <v>104</v>
      </c>
      <c r="B115" s="46" t="s">
        <v>375</v>
      </c>
      <c r="C115" s="68" t="s">
        <v>520</v>
      </c>
      <c r="D115" s="69" t="s">
        <v>412</v>
      </c>
      <c r="E115" s="46">
        <v>30</v>
      </c>
      <c r="F115" s="46" t="s">
        <v>375</v>
      </c>
      <c r="G115" s="46" t="s">
        <v>375</v>
      </c>
      <c r="H115" s="46" t="s">
        <v>375</v>
      </c>
      <c r="I115" s="46" t="s">
        <v>375</v>
      </c>
      <c r="J115" s="46" t="s">
        <v>375</v>
      </c>
      <c r="K115" s="46"/>
      <c r="L115" s="46" t="s">
        <v>375</v>
      </c>
      <c r="M115" s="46" t="s">
        <v>375</v>
      </c>
      <c r="N115" s="49" t="s">
        <v>375</v>
      </c>
    </row>
    <row r="116" spans="1:15" s="50" customFormat="1" ht="81" customHeight="1" x14ac:dyDescent="0.2">
      <c r="A116" s="46">
        <f t="shared" si="11"/>
        <v>105</v>
      </c>
      <c r="B116" s="46" t="s">
        <v>375</v>
      </c>
      <c r="C116" s="68" t="s">
        <v>521</v>
      </c>
      <c r="D116" s="69" t="s">
        <v>522</v>
      </c>
      <c r="E116" s="46">
        <v>2450</v>
      </c>
      <c r="F116" s="46" t="s">
        <v>375</v>
      </c>
      <c r="G116" s="46" t="s">
        <v>375</v>
      </c>
      <c r="H116" s="46" t="s">
        <v>375</v>
      </c>
      <c r="I116" s="46" t="s">
        <v>375</v>
      </c>
      <c r="J116" s="46" t="s">
        <v>375</v>
      </c>
      <c r="K116" s="46"/>
      <c r="L116" s="46" t="s">
        <v>375</v>
      </c>
      <c r="M116" s="46" t="s">
        <v>375</v>
      </c>
      <c r="N116" s="49" t="s">
        <v>375</v>
      </c>
    </row>
    <row r="117" spans="1:15" s="50" customFormat="1" ht="150" customHeight="1" x14ac:dyDescent="0.2">
      <c r="A117" s="51">
        <f t="shared" si="11"/>
        <v>106</v>
      </c>
      <c r="B117" s="51">
        <v>2</v>
      </c>
      <c r="C117" s="53" t="s">
        <v>523</v>
      </c>
      <c r="D117" s="70" t="s">
        <v>524</v>
      </c>
      <c r="E117" s="51">
        <v>1300</v>
      </c>
      <c r="F117" s="51">
        <f>0</f>
        <v>0</v>
      </c>
      <c r="G117" s="51">
        <f>E117-F117-H117-I117-J117-L117-K117</f>
        <v>800</v>
      </c>
      <c r="H117" s="54">
        <f>1000-500</f>
        <v>500</v>
      </c>
      <c r="I117" s="54"/>
      <c r="J117" s="54"/>
      <c r="K117" s="54"/>
      <c r="L117" s="54"/>
      <c r="M117" s="55"/>
      <c r="N117" s="56">
        <v>0.88</v>
      </c>
      <c r="O117" s="72"/>
    </row>
    <row r="118" spans="1:15" s="50" customFormat="1" ht="114.75" customHeight="1" x14ac:dyDescent="0.2">
      <c r="A118" s="46">
        <f t="shared" si="11"/>
        <v>107</v>
      </c>
      <c r="B118" s="46" t="s">
        <v>375</v>
      </c>
      <c r="C118" s="68" t="s">
        <v>525</v>
      </c>
      <c r="D118" s="69" t="s">
        <v>526</v>
      </c>
      <c r="E118" s="46">
        <v>30</v>
      </c>
      <c r="F118" s="46" t="s">
        <v>375</v>
      </c>
      <c r="G118" s="46" t="s">
        <v>375</v>
      </c>
      <c r="H118" s="46" t="s">
        <v>375</v>
      </c>
      <c r="I118" s="46" t="s">
        <v>375</v>
      </c>
      <c r="J118" s="46" t="s">
        <v>375</v>
      </c>
      <c r="K118" s="46"/>
      <c r="L118" s="46" t="s">
        <v>375</v>
      </c>
      <c r="M118" s="46" t="s">
        <v>375</v>
      </c>
      <c r="N118" s="49" t="s">
        <v>375</v>
      </c>
    </row>
    <row r="119" spans="1:15" s="50" customFormat="1" ht="48.75" customHeight="1" x14ac:dyDescent="0.2">
      <c r="A119" s="51">
        <f t="shared" si="11"/>
        <v>108</v>
      </c>
      <c r="B119" s="51">
        <v>4</v>
      </c>
      <c r="C119" s="66" t="s">
        <v>527</v>
      </c>
      <c r="D119" s="71" t="s">
        <v>465</v>
      </c>
      <c r="E119" s="51">
        <v>130</v>
      </c>
      <c r="F119" s="51">
        <f>0</f>
        <v>0</v>
      </c>
      <c r="G119" s="51">
        <f>E119-F119-H119-I119-J119-L119-K119</f>
        <v>30</v>
      </c>
      <c r="H119" s="54">
        <v>30</v>
      </c>
      <c r="I119" s="54">
        <v>40</v>
      </c>
      <c r="J119" s="54"/>
      <c r="K119" s="54">
        <v>30</v>
      </c>
      <c r="L119" s="54"/>
      <c r="M119" s="55"/>
      <c r="N119" s="67">
        <v>5.04</v>
      </c>
    </row>
    <row r="120" spans="1:15" s="50" customFormat="1" ht="49.5" customHeight="1" x14ac:dyDescent="0.2">
      <c r="A120" s="46">
        <f t="shared" si="11"/>
        <v>109</v>
      </c>
      <c r="B120" s="46" t="s">
        <v>375</v>
      </c>
      <c r="C120" s="68" t="s">
        <v>527</v>
      </c>
      <c r="D120" s="69" t="s">
        <v>528</v>
      </c>
      <c r="E120" s="46">
        <v>20</v>
      </c>
      <c r="F120" s="46" t="s">
        <v>375</v>
      </c>
      <c r="G120" s="46" t="s">
        <v>375</v>
      </c>
      <c r="H120" s="46" t="s">
        <v>375</v>
      </c>
      <c r="I120" s="46" t="s">
        <v>375</v>
      </c>
      <c r="J120" s="46" t="s">
        <v>375</v>
      </c>
      <c r="K120" s="46"/>
      <c r="L120" s="46" t="s">
        <v>375</v>
      </c>
      <c r="M120" s="46" t="s">
        <v>375</v>
      </c>
      <c r="N120" s="49" t="s">
        <v>375</v>
      </c>
    </row>
    <row r="121" spans="1:15" s="50" customFormat="1" ht="48" customHeight="1" x14ac:dyDescent="0.2">
      <c r="A121" s="51">
        <f t="shared" si="11"/>
        <v>110</v>
      </c>
      <c r="B121" s="51">
        <v>2</v>
      </c>
      <c r="C121" s="53" t="s">
        <v>529</v>
      </c>
      <c r="D121" s="70" t="s">
        <v>530</v>
      </c>
      <c r="E121" s="51">
        <v>195</v>
      </c>
      <c r="F121" s="51">
        <f>0</f>
        <v>0</v>
      </c>
      <c r="G121" s="51">
        <f t="shared" ref="G121:G122" si="17">E121-F121-H121-I121-J121-L121-K121</f>
        <v>95</v>
      </c>
      <c r="H121" s="54">
        <f>150-50</f>
        <v>100</v>
      </c>
      <c r="I121" s="54"/>
      <c r="J121" s="54"/>
      <c r="K121" s="54"/>
      <c r="L121" s="54"/>
      <c r="M121" s="55"/>
      <c r="N121" s="56">
        <v>14.51</v>
      </c>
      <c r="O121" s="72"/>
    </row>
    <row r="122" spans="1:15" s="50" customFormat="1" ht="48" customHeight="1" x14ac:dyDescent="0.2">
      <c r="A122" s="51">
        <f t="shared" si="11"/>
        <v>111</v>
      </c>
      <c r="B122" s="51">
        <v>2</v>
      </c>
      <c r="C122" s="53" t="s">
        <v>531</v>
      </c>
      <c r="D122" s="70" t="s">
        <v>532</v>
      </c>
      <c r="E122" s="51">
        <v>260</v>
      </c>
      <c r="F122" s="51">
        <f>0</f>
        <v>0</v>
      </c>
      <c r="G122" s="51">
        <f t="shared" si="17"/>
        <v>160</v>
      </c>
      <c r="H122" s="54">
        <f>200-100</f>
        <v>100</v>
      </c>
      <c r="I122" s="54"/>
      <c r="J122" s="54"/>
      <c r="K122" s="54"/>
      <c r="L122" s="54"/>
      <c r="M122" s="55"/>
      <c r="N122" s="56">
        <v>5.08</v>
      </c>
      <c r="O122" s="72"/>
    </row>
    <row r="123" spans="1:15" s="50" customFormat="1" ht="35.25" customHeight="1" x14ac:dyDescent="0.2">
      <c r="A123" s="46">
        <f t="shared" si="11"/>
        <v>112</v>
      </c>
      <c r="B123" s="46" t="s">
        <v>375</v>
      </c>
      <c r="C123" s="68" t="s">
        <v>533</v>
      </c>
      <c r="D123" s="69" t="s">
        <v>534</v>
      </c>
      <c r="E123" s="46">
        <v>65</v>
      </c>
      <c r="F123" s="46" t="s">
        <v>375</v>
      </c>
      <c r="G123" s="46" t="s">
        <v>375</v>
      </c>
      <c r="H123" s="46" t="s">
        <v>375</v>
      </c>
      <c r="I123" s="46" t="s">
        <v>375</v>
      </c>
      <c r="J123" s="46" t="s">
        <v>375</v>
      </c>
      <c r="K123" s="46"/>
      <c r="L123" s="46" t="s">
        <v>375</v>
      </c>
      <c r="M123" s="46" t="s">
        <v>375</v>
      </c>
      <c r="N123" s="49" t="s">
        <v>375</v>
      </c>
    </row>
    <row r="124" spans="1:15" s="50" customFormat="1" ht="35.25" customHeight="1" x14ac:dyDescent="0.2">
      <c r="A124" s="46">
        <f t="shared" si="11"/>
        <v>113</v>
      </c>
      <c r="B124" s="46" t="s">
        <v>375</v>
      </c>
      <c r="C124" s="68" t="s">
        <v>535</v>
      </c>
      <c r="D124" s="69" t="s">
        <v>536</v>
      </c>
      <c r="E124" s="46">
        <v>65</v>
      </c>
      <c r="F124" s="46" t="s">
        <v>375</v>
      </c>
      <c r="G124" s="46" t="s">
        <v>375</v>
      </c>
      <c r="H124" s="46" t="s">
        <v>375</v>
      </c>
      <c r="I124" s="46" t="s">
        <v>375</v>
      </c>
      <c r="J124" s="46" t="s">
        <v>375</v>
      </c>
      <c r="K124" s="46"/>
      <c r="L124" s="46" t="s">
        <v>375</v>
      </c>
      <c r="M124" s="46" t="s">
        <v>375</v>
      </c>
      <c r="N124" s="49" t="s">
        <v>375</v>
      </c>
    </row>
    <row r="125" spans="1:15" s="50" customFormat="1" ht="27" customHeight="1" x14ac:dyDescent="0.2">
      <c r="A125" s="51">
        <f t="shared" si="11"/>
        <v>114</v>
      </c>
      <c r="B125" s="51">
        <v>4</v>
      </c>
      <c r="C125" s="66" t="s">
        <v>537</v>
      </c>
      <c r="D125" s="71" t="s">
        <v>538</v>
      </c>
      <c r="E125" s="51">
        <v>40</v>
      </c>
      <c r="F125" s="51">
        <f>0</f>
        <v>0</v>
      </c>
      <c r="G125" s="51">
        <f>E125-F125-H125-I125-J125-L125-K125</f>
        <v>10</v>
      </c>
      <c r="H125" s="54"/>
      <c r="I125" s="54">
        <v>30</v>
      </c>
      <c r="J125" s="54"/>
      <c r="K125" s="54"/>
      <c r="L125" s="54"/>
      <c r="M125" s="55"/>
      <c r="N125" s="67">
        <v>8.1300000000000008</v>
      </c>
    </row>
    <row r="126" spans="1:15" s="50" customFormat="1" ht="68.25" customHeight="1" x14ac:dyDescent="0.2">
      <c r="A126" s="46">
        <f t="shared" si="11"/>
        <v>115</v>
      </c>
      <c r="B126" s="46" t="s">
        <v>375</v>
      </c>
      <c r="C126" s="68" t="s">
        <v>539</v>
      </c>
      <c r="D126" s="69" t="s">
        <v>540</v>
      </c>
      <c r="E126" s="46">
        <v>5</v>
      </c>
      <c r="F126" s="46" t="s">
        <v>375</v>
      </c>
      <c r="G126" s="46" t="s">
        <v>375</v>
      </c>
      <c r="H126" s="46" t="s">
        <v>375</v>
      </c>
      <c r="I126" s="46" t="s">
        <v>375</v>
      </c>
      <c r="J126" s="46" t="s">
        <v>375</v>
      </c>
      <c r="K126" s="46"/>
      <c r="L126" s="46" t="s">
        <v>375</v>
      </c>
      <c r="M126" s="46" t="s">
        <v>375</v>
      </c>
      <c r="N126" s="49" t="s">
        <v>375</v>
      </c>
    </row>
    <row r="127" spans="1:15" s="50" customFormat="1" ht="51" x14ac:dyDescent="0.2">
      <c r="A127" s="51">
        <f t="shared" si="11"/>
        <v>116</v>
      </c>
      <c r="B127" s="51">
        <v>4</v>
      </c>
      <c r="C127" s="66" t="s">
        <v>541</v>
      </c>
      <c r="D127" s="71" t="s">
        <v>401</v>
      </c>
      <c r="E127" s="51">
        <v>1560</v>
      </c>
      <c r="F127" s="51">
        <f>0</f>
        <v>0</v>
      </c>
      <c r="G127" s="51">
        <f t="shared" ref="G127:G128" si="18">E127-F127-H127-I127-J127-L127-K127</f>
        <v>360</v>
      </c>
      <c r="H127" s="54"/>
      <c r="I127" s="54"/>
      <c r="J127" s="54"/>
      <c r="K127" s="54">
        <v>1200</v>
      </c>
      <c r="L127" s="54"/>
      <c r="M127" s="55"/>
      <c r="N127" s="67">
        <v>1.45</v>
      </c>
    </row>
    <row r="128" spans="1:15" s="50" customFormat="1" ht="42.75" customHeight="1" x14ac:dyDescent="0.2">
      <c r="A128" s="51">
        <f t="shared" si="11"/>
        <v>117</v>
      </c>
      <c r="B128" s="51">
        <v>4</v>
      </c>
      <c r="C128" s="66" t="s">
        <v>542</v>
      </c>
      <c r="D128" s="71" t="s">
        <v>405</v>
      </c>
      <c r="E128" s="51">
        <v>70</v>
      </c>
      <c r="F128" s="51">
        <f>0</f>
        <v>0</v>
      </c>
      <c r="G128" s="51">
        <f t="shared" si="18"/>
        <v>20</v>
      </c>
      <c r="H128" s="54">
        <v>50</v>
      </c>
      <c r="I128" s="54"/>
      <c r="J128" s="54"/>
      <c r="K128" s="54"/>
      <c r="L128" s="54"/>
      <c r="M128" s="55"/>
      <c r="N128" s="67">
        <v>2.44</v>
      </c>
    </row>
    <row r="129" spans="1:15" s="50" customFormat="1" ht="51" customHeight="1" x14ac:dyDescent="0.2">
      <c r="A129" s="46">
        <f t="shared" si="11"/>
        <v>118</v>
      </c>
      <c r="B129" s="46" t="s">
        <v>375</v>
      </c>
      <c r="C129" s="68" t="s">
        <v>543</v>
      </c>
      <c r="D129" s="69" t="s">
        <v>444</v>
      </c>
      <c r="E129" s="46">
        <v>10</v>
      </c>
      <c r="F129" s="46" t="s">
        <v>375</v>
      </c>
      <c r="G129" s="46" t="s">
        <v>375</v>
      </c>
      <c r="H129" s="46" t="s">
        <v>375</v>
      </c>
      <c r="I129" s="46" t="s">
        <v>375</v>
      </c>
      <c r="J129" s="46" t="s">
        <v>375</v>
      </c>
      <c r="K129" s="46"/>
      <c r="L129" s="46" t="s">
        <v>375</v>
      </c>
      <c r="M129" s="46" t="s">
        <v>375</v>
      </c>
      <c r="N129" s="49" t="s">
        <v>375</v>
      </c>
    </row>
    <row r="130" spans="1:15" s="50" customFormat="1" ht="43.5" customHeight="1" x14ac:dyDescent="0.2">
      <c r="A130" s="46">
        <f t="shared" si="11"/>
        <v>119</v>
      </c>
      <c r="B130" s="46" t="s">
        <v>375</v>
      </c>
      <c r="C130" s="68" t="s">
        <v>544</v>
      </c>
      <c r="D130" s="69" t="s">
        <v>545</v>
      </c>
      <c r="E130" s="46">
        <v>390</v>
      </c>
      <c r="F130" s="46" t="s">
        <v>375</v>
      </c>
      <c r="G130" s="46" t="s">
        <v>375</v>
      </c>
      <c r="H130" s="46" t="s">
        <v>375</v>
      </c>
      <c r="I130" s="46" t="s">
        <v>375</v>
      </c>
      <c r="J130" s="46" t="s">
        <v>375</v>
      </c>
      <c r="K130" s="46"/>
      <c r="L130" s="46" t="s">
        <v>375</v>
      </c>
      <c r="M130" s="46" t="s">
        <v>375</v>
      </c>
      <c r="N130" s="49" t="s">
        <v>375</v>
      </c>
    </row>
    <row r="131" spans="1:15" s="50" customFormat="1" ht="62.25" customHeight="1" x14ac:dyDescent="0.2">
      <c r="A131" s="46">
        <f t="shared" si="11"/>
        <v>120</v>
      </c>
      <c r="B131" s="46" t="s">
        <v>375</v>
      </c>
      <c r="C131" s="68" t="s">
        <v>546</v>
      </c>
      <c r="D131" s="69" t="s">
        <v>545</v>
      </c>
      <c r="E131" s="46">
        <v>1040</v>
      </c>
      <c r="F131" s="46" t="s">
        <v>375</v>
      </c>
      <c r="G131" s="46" t="s">
        <v>375</v>
      </c>
      <c r="H131" s="46" t="s">
        <v>375</v>
      </c>
      <c r="I131" s="46" t="s">
        <v>375</v>
      </c>
      <c r="J131" s="46" t="s">
        <v>375</v>
      </c>
      <c r="K131" s="46"/>
      <c r="L131" s="46" t="s">
        <v>375</v>
      </c>
      <c r="M131" s="46" t="s">
        <v>375</v>
      </c>
      <c r="N131" s="49" t="s">
        <v>375</v>
      </c>
    </row>
    <row r="132" spans="1:15" s="50" customFormat="1" ht="60.75" customHeight="1" x14ac:dyDescent="0.2">
      <c r="A132" s="51">
        <f t="shared" si="11"/>
        <v>121</v>
      </c>
      <c r="B132" s="51">
        <v>4</v>
      </c>
      <c r="C132" s="66" t="s">
        <v>547</v>
      </c>
      <c r="D132" s="71" t="s">
        <v>548</v>
      </c>
      <c r="E132" s="51">
        <v>30</v>
      </c>
      <c r="F132" s="51">
        <f>0</f>
        <v>0</v>
      </c>
      <c r="G132" s="51">
        <f>E132-F132-H132-I132-J132-L132-K132</f>
        <v>15</v>
      </c>
      <c r="H132" s="54">
        <f>20-5</f>
        <v>15</v>
      </c>
      <c r="I132" s="54"/>
      <c r="J132" s="54"/>
      <c r="K132" s="54"/>
      <c r="L132" s="54"/>
      <c r="M132" s="55"/>
      <c r="N132" s="67">
        <v>12.5</v>
      </c>
      <c r="O132" s="72"/>
    </row>
    <row r="133" spans="1:15" s="50" customFormat="1" ht="51" x14ac:dyDescent="0.2">
      <c r="A133" s="46">
        <f t="shared" si="11"/>
        <v>122</v>
      </c>
      <c r="B133" s="46" t="s">
        <v>375</v>
      </c>
      <c r="C133" s="68" t="s">
        <v>549</v>
      </c>
      <c r="D133" s="69" t="s">
        <v>550</v>
      </c>
      <c r="E133" s="46">
        <v>30</v>
      </c>
      <c r="F133" s="46" t="s">
        <v>375</v>
      </c>
      <c r="G133" s="46" t="s">
        <v>375</v>
      </c>
      <c r="H133" s="46" t="s">
        <v>375</v>
      </c>
      <c r="I133" s="46" t="s">
        <v>375</v>
      </c>
      <c r="J133" s="46" t="s">
        <v>375</v>
      </c>
      <c r="K133" s="46"/>
      <c r="L133" s="46" t="s">
        <v>375</v>
      </c>
      <c r="M133" s="46" t="s">
        <v>375</v>
      </c>
      <c r="N133" s="49" t="s">
        <v>375</v>
      </c>
    </row>
    <row r="134" spans="1:15" s="50" customFormat="1" ht="102" x14ac:dyDescent="0.2">
      <c r="A134" s="46">
        <f t="shared" si="11"/>
        <v>123</v>
      </c>
      <c r="B134" s="46" t="s">
        <v>375</v>
      </c>
      <c r="C134" s="68" t="s">
        <v>551</v>
      </c>
      <c r="D134" s="69" t="s">
        <v>524</v>
      </c>
      <c r="E134" s="46">
        <v>6</v>
      </c>
      <c r="F134" s="46" t="s">
        <v>375</v>
      </c>
      <c r="G134" s="46" t="s">
        <v>375</v>
      </c>
      <c r="H134" s="46" t="s">
        <v>375</v>
      </c>
      <c r="I134" s="46" t="s">
        <v>375</v>
      </c>
      <c r="J134" s="46" t="s">
        <v>375</v>
      </c>
      <c r="K134" s="46"/>
      <c r="L134" s="46" t="s">
        <v>375</v>
      </c>
      <c r="M134" s="46" t="s">
        <v>375</v>
      </c>
      <c r="N134" s="49" t="s">
        <v>375</v>
      </c>
    </row>
    <row r="135" spans="1:15" s="50" customFormat="1" ht="102" x14ac:dyDescent="0.2">
      <c r="A135" s="46">
        <f t="shared" si="11"/>
        <v>124</v>
      </c>
      <c r="B135" s="46" t="s">
        <v>375</v>
      </c>
      <c r="C135" s="68" t="s">
        <v>552</v>
      </c>
      <c r="D135" s="69" t="s">
        <v>524</v>
      </c>
      <c r="E135" s="46">
        <v>6</v>
      </c>
      <c r="F135" s="46" t="s">
        <v>375</v>
      </c>
      <c r="G135" s="46" t="s">
        <v>375</v>
      </c>
      <c r="H135" s="46" t="s">
        <v>375</v>
      </c>
      <c r="I135" s="46" t="s">
        <v>375</v>
      </c>
      <c r="J135" s="46" t="s">
        <v>375</v>
      </c>
      <c r="K135" s="46"/>
      <c r="L135" s="46" t="s">
        <v>375</v>
      </c>
      <c r="M135" s="46" t="s">
        <v>375</v>
      </c>
      <c r="N135" s="49" t="s">
        <v>375</v>
      </c>
    </row>
    <row r="136" spans="1:15" s="50" customFormat="1" ht="76.5" x14ac:dyDescent="0.2">
      <c r="A136" s="51">
        <v>125</v>
      </c>
      <c r="B136" s="51">
        <v>6</v>
      </c>
      <c r="C136" s="66" t="s">
        <v>553</v>
      </c>
      <c r="D136" s="71" t="s">
        <v>554</v>
      </c>
      <c r="E136" s="51">
        <v>60</v>
      </c>
      <c r="F136" s="51">
        <f>0</f>
        <v>0</v>
      </c>
      <c r="G136" s="51">
        <f>E136-F136-H136-I136-J136-L136-K136</f>
        <v>60</v>
      </c>
      <c r="H136" s="54"/>
      <c r="I136" s="54"/>
      <c r="J136" s="54"/>
      <c r="K136" s="54"/>
      <c r="L136" s="54"/>
      <c r="M136" s="55"/>
      <c r="N136" s="67">
        <v>21</v>
      </c>
    </row>
    <row r="137" spans="1:15" s="50" customFormat="1" ht="63" customHeight="1" x14ac:dyDescent="0.2">
      <c r="A137" s="46">
        <v>126</v>
      </c>
      <c r="B137" s="46" t="s">
        <v>375</v>
      </c>
      <c r="C137" s="68" t="s">
        <v>513</v>
      </c>
      <c r="D137" s="69" t="s">
        <v>550</v>
      </c>
      <c r="E137" s="46">
        <v>10</v>
      </c>
      <c r="F137" s="46" t="s">
        <v>375</v>
      </c>
      <c r="G137" s="46" t="s">
        <v>375</v>
      </c>
      <c r="H137" s="46" t="s">
        <v>375</v>
      </c>
      <c r="I137" s="46" t="s">
        <v>375</v>
      </c>
      <c r="J137" s="46" t="s">
        <v>375</v>
      </c>
      <c r="K137" s="46"/>
      <c r="L137" s="46" t="s">
        <v>375</v>
      </c>
      <c r="M137" s="46" t="s">
        <v>375</v>
      </c>
      <c r="N137" s="49" t="s">
        <v>375</v>
      </c>
    </row>
    <row r="138" spans="1:15" x14ac:dyDescent="0.25">
      <c r="A138" s="74"/>
      <c r="B138" s="74"/>
      <c r="C138" s="75"/>
      <c r="D138" s="75"/>
      <c r="E138" s="76"/>
      <c r="F138" s="77"/>
      <c r="G138" s="77"/>
      <c r="H138" s="78"/>
      <c r="I138" s="78"/>
      <c r="J138" s="78"/>
      <c r="K138" s="78"/>
      <c r="L138" s="78"/>
      <c r="M138" s="79"/>
      <c r="O138" s="80"/>
    </row>
    <row r="139" spans="1:15" x14ac:dyDescent="0.25">
      <c r="C139" s="81" t="s">
        <v>555</v>
      </c>
      <c r="D139" s="82"/>
      <c r="E139" s="83"/>
      <c r="F139" s="84"/>
      <c r="G139" s="77"/>
      <c r="H139" s="78"/>
      <c r="I139" s="78"/>
      <c r="J139" s="78"/>
      <c r="K139" s="78"/>
      <c r="L139" s="78"/>
      <c r="M139" s="79"/>
      <c r="O139" s="80"/>
    </row>
    <row r="140" spans="1:15" x14ac:dyDescent="0.25">
      <c r="C140" s="85" t="s">
        <v>556</v>
      </c>
      <c r="D140" s="86"/>
      <c r="E140" s="83"/>
      <c r="F140" s="84"/>
      <c r="G140" s="77"/>
      <c r="H140" s="78"/>
      <c r="I140" s="78"/>
      <c r="J140" s="78"/>
      <c r="K140" s="78"/>
      <c r="L140" s="78"/>
      <c r="M140" s="79"/>
    </row>
    <row r="141" spans="1:15" x14ac:dyDescent="0.25">
      <c r="C141" s="87" t="s">
        <v>557</v>
      </c>
      <c r="D141" s="86"/>
      <c r="E141" s="83"/>
      <c r="F141" s="84"/>
      <c r="G141" s="77"/>
      <c r="H141" s="78"/>
      <c r="I141" s="78"/>
      <c r="J141" s="78"/>
      <c r="K141" s="78"/>
      <c r="L141" s="78"/>
      <c r="M141" s="79"/>
    </row>
    <row r="142" spans="1:15" ht="26.25" x14ac:dyDescent="0.25">
      <c r="C142" s="88" t="s">
        <v>558</v>
      </c>
      <c r="D142" s="86"/>
      <c r="E142" s="83"/>
      <c r="F142" s="84"/>
      <c r="G142" s="77"/>
      <c r="H142" s="78"/>
      <c r="I142" s="78"/>
      <c r="J142" s="78"/>
      <c r="K142" s="78"/>
      <c r="L142" s="78"/>
      <c r="M142" s="79"/>
    </row>
    <row r="143" spans="1:15" x14ac:dyDescent="0.25">
      <c r="A143" s="89"/>
      <c r="B143" s="89"/>
      <c r="C143" s="89"/>
      <c r="D143" s="89"/>
      <c r="E143" s="83"/>
      <c r="F143" s="84"/>
      <c r="G143" s="77"/>
      <c r="H143" s="78"/>
      <c r="I143" s="78"/>
      <c r="J143" s="78"/>
      <c r="K143" s="78"/>
      <c r="L143" s="78"/>
      <c r="M143" s="79"/>
    </row>
    <row r="144" spans="1:15" x14ac:dyDescent="0.25">
      <c r="A144" s="186" t="s">
        <v>559</v>
      </c>
      <c r="B144" s="186"/>
      <c r="C144" s="186"/>
      <c r="D144" s="186"/>
      <c r="E144" s="186"/>
      <c r="F144" s="186"/>
      <c r="G144" s="77"/>
      <c r="H144" s="78"/>
      <c r="I144" s="78"/>
      <c r="J144" s="78"/>
      <c r="K144" s="78"/>
      <c r="L144" s="78"/>
      <c r="M144" s="79"/>
    </row>
    <row r="145" spans="1:14" x14ac:dyDescent="0.25">
      <c r="A145" s="187" t="s">
        <v>560</v>
      </c>
      <c r="B145" s="187"/>
      <c r="C145" s="187"/>
      <c r="D145" s="187"/>
      <c r="E145" s="187"/>
      <c r="F145" s="187"/>
      <c r="G145" s="77"/>
      <c r="H145" s="78"/>
      <c r="I145" s="78"/>
      <c r="J145" s="78"/>
      <c r="K145" s="78"/>
      <c r="L145" s="78"/>
      <c r="M145" s="79"/>
    </row>
    <row r="146" spans="1:14" x14ac:dyDescent="0.25">
      <c r="A146" s="84"/>
      <c r="B146" s="84"/>
      <c r="C146" s="89"/>
      <c r="D146" s="89"/>
      <c r="E146" s="89"/>
      <c r="F146" s="83"/>
      <c r="G146" s="84"/>
      <c r="H146" s="90"/>
      <c r="I146" s="90"/>
      <c r="J146" s="90"/>
      <c r="K146" s="90"/>
      <c r="L146" s="90"/>
      <c r="M146" s="91"/>
      <c r="N146" s="84"/>
    </row>
    <row r="147" spans="1:14" s="94" customFormat="1" ht="12.75" x14ac:dyDescent="0.2">
      <c r="A147" s="92" t="s">
        <v>561</v>
      </c>
      <c r="B147" s="188" t="s">
        <v>562</v>
      </c>
      <c r="C147" s="189"/>
      <c r="D147" s="189"/>
      <c r="E147" s="189"/>
      <c r="F147" s="190"/>
      <c r="G147" s="191" t="s">
        <v>563</v>
      </c>
      <c r="H147" s="192"/>
      <c r="I147" s="192"/>
      <c r="J147" s="192"/>
      <c r="K147" s="192"/>
      <c r="L147" s="192"/>
      <c r="M147" s="193"/>
      <c r="N147" s="93" t="s">
        <v>564</v>
      </c>
    </row>
    <row r="148" spans="1:14" s="94" customFormat="1" ht="51" x14ac:dyDescent="0.2">
      <c r="A148" s="95">
        <v>1</v>
      </c>
      <c r="B148" s="194" t="s">
        <v>565</v>
      </c>
      <c r="C148" s="195"/>
      <c r="D148" s="195"/>
      <c r="E148" s="195"/>
      <c r="F148" s="196"/>
      <c r="G148" s="197" t="s">
        <v>566</v>
      </c>
      <c r="H148" s="198"/>
      <c r="I148" s="198"/>
      <c r="J148" s="198"/>
      <c r="K148" s="198"/>
      <c r="L148" s="198"/>
      <c r="M148" s="199"/>
      <c r="N148" s="96" t="s">
        <v>567</v>
      </c>
    </row>
    <row r="149" spans="1:14" s="94" customFormat="1" ht="12.75" x14ac:dyDescent="0.2">
      <c r="A149" s="95">
        <v>2</v>
      </c>
      <c r="B149" s="194" t="s">
        <v>568</v>
      </c>
      <c r="C149" s="195"/>
      <c r="D149" s="195"/>
      <c r="E149" s="195"/>
      <c r="F149" s="196"/>
      <c r="G149" s="197" t="s">
        <v>569</v>
      </c>
      <c r="H149" s="198"/>
      <c r="I149" s="198"/>
      <c r="J149" s="198"/>
      <c r="K149" s="198"/>
      <c r="L149" s="198"/>
      <c r="M149" s="199"/>
      <c r="N149" s="96" t="s">
        <v>570</v>
      </c>
    </row>
    <row r="150" spans="1:14" s="94" customFormat="1" ht="12.75" x14ac:dyDescent="0.2">
      <c r="A150" s="95">
        <v>3</v>
      </c>
      <c r="B150" s="194" t="s">
        <v>571</v>
      </c>
      <c r="C150" s="195"/>
      <c r="D150" s="195"/>
      <c r="E150" s="195"/>
      <c r="F150" s="196"/>
      <c r="G150" s="197" t="s">
        <v>572</v>
      </c>
      <c r="H150" s="198"/>
      <c r="I150" s="198"/>
      <c r="J150" s="198"/>
      <c r="K150" s="198"/>
      <c r="L150" s="198"/>
      <c r="M150" s="199"/>
      <c r="N150" s="97" t="s">
        <v>573</v>
      </c>
    </row>
    <row r="151" spans="1:14" s="94" customFormat="1" ht="12.75" x14ac:dyDescent="0.2">
      <c r="A151" s="95">
        <v>4</v>
      </c>
      <c r="B151" s="200" t="s">
        <v>574</v>
      </c>
      <c r="C151" s="201"/>
      <c r="D151" s="201"/>
      <c r="E151" s="201"/>
      <c r="F151" s="202"/>
      <c r="G151" s="203" t="s">
        <v>575</v>
      </c>
      <c r="H151" s="204"/>
      <c r="I151" s="204"/>
      <c r="J151" s="204"/>
      <c r="K151" s="204"/>
      <c r="L151" s="204"/>
      <c r="M151" s="205"/>
      <c r="N151" s="98" t="s">
        <v>576</v>
      </c>
    </row>
    <row r="152" spans="1:14" s="94" customFormat="1" ht="38.25" x14ac:dyDescent="0.2">
      <c r="A152" s="95">
        <v>5</v>
      </c>
      <c r="B152" s="194" t="s">
        <v>577</v>
      </c>
      <c r="C152" s="195"/>
      <c r="D152" s="195"/>
      <c r="E152" s="195"/>
      <c r="F152" s="196"/>
      <c r="G152" s="197" t="s">
        <v>578</v>
      </c>
      <c r="H152" s="198"/>
      <c r="I152" s="198"/>
      <c r="J152" s="198"/>
      <c r="K152" s="198"/>
      <c r="L152" s="198"/>
      <c r="M152" s="199"/>
      <c r="N152" s="96" t="s">
        <v>579</v>
      </c>
    </row>
    <row r="153" spans="1:14" s="94" customFormat="1" ht="39" customHeight="1" x14ac:dyDescent="0.2">
      <c r="A153" s="95">
        <v>6</v>
      </c>
      <c r="B153" s="200" t="s">
        <v>580</v>
      </c>
      <c r="C153" s="201"/>
      <c r="D153" s="201"/>
      <c r="E153" s="201"/>
      <c r="F153" s="202"/>
      <c r="G153" s="203" t="s">
        <v>581</v>
      </c>
      <c r="H153" s="204"/>
      <c r="I153" s="204"/>
      <c r="J153" s="204"/>
      <c r="K153" s="204"/>
      <c r="L153" s="204"/>
      <c r="M153" s="205"/>
      <c r="N153" s="98" t="s">
        <v>582</v>
      </c>
    </row>
    <row r="154" spans="1:14" s="94" customFormat="1" ht="39" customHeight="1" x14ac:dyDescent="0.2">
      <c r="A154" s="95">
        <v>7</v>
      </c>
      <c r="B154" s="194" t="s">
        <v>583</v>
      </c>
      <c r="C154" s="195"/>
      <c r="D154" s="195"/>
      <c r="E154" s="195"/>
      <c r="F154" s="196"/>
      <c r="G154" s="197" t="s">
        <v>584</v>
      </c>
      <c r="H154" s="198"/>
      <c r="I154" s="198"/>
      <c r="J154" s="198"/>
      <c r="K154" s="198"/>
      <c r="L154" s="198"/>
      <c r="M154" s="199"/>
      <c r="N154" s="96" t="s">
        <v>585</v>
      </c>
    </row>
    <row r="155" spans="1:14" ht="39" customHeight="1" thickBot="1" x14ac:dyDescent="0.3">
      <c r="A155" s="99"/>
      <c r="B155" s="99"/>
      <c r="C155" s="100"/>
      <c r="D155" s="100"/>
      <c r="E155" s="100"/>
      <c r="F155" s="100"/>
      <c r="G155" s="99"/>
      <c r="H155" s="101"/>
      <c r="I155" s="101"/>
      <c r="J155" s="101"/>
      <c r="K155" s="101"/>
      <c r="L155" s="101"/>
      <c r="M155" s="102"/>
      <c r="N155" s="84"/>
    </row>
    <row r="156" spans="1:14" ht="39" customHeight="1" thickTop="1" x14ac:dyDescent="0.25">
      <c r="A156" s="206" t="s">
        <v>586</v>
      </c>
      <c r="B156" s="206"/>
      <c r="C156" s="206"/>
      <c r="D156" s="103"/>
      <c r="E156" s="207" t="s">
        <v>587</v>
      </c>
      <c r="F156" s="208"/>
      <c r="G156" s="104"/>
      <c r="H156" s="105"/>
      <c r="I156" s="105"/>
      <c r="J156" s="105"/>
      <c r="K156" s="105"/>
      <c r="L156" s="105"/>
      <c r="M156" s="104"/>
      <c r="N156" s="104"/>
    </row>
    <row r="157" spans="1:14" ht="39" customHeight="1" x14ac:dyDescent="0.25">
      <c r="A157" s="213" t="s">
        <v>588</v>
      </c>
      <c r="B157" s="214"/>
      <c r="C157" s="106"/>
      <c r="D157" s="107"/>
      <c r="E157" s="209"/>
      <c r="F157" s="210"/>
      <c r="G157" s="77"/>
      <c r="H157" s="78"/>
      <c r="I157" s="78"/>
      <c r="J157" s="78"/>
      <c r="K157" s="78"/>
      <c r="L157" s="78"/>
      <c r="M157" s="79"/>
    </row>
    <row r="158" spans="1:14" ht="39" customHeight="1" x14ac:dyDescent="0.25">
      <c r="A158" s="215" t="s">
        <v>589</v>
      </c>
      <c r="B158" s="215"/>
      <c r="C158" s="106"/>
      <c r="D158" s="107"/>
      <c r="E158" s="209"/>
      <c r="F158" s="210"/>
      <c r="G158" s="77"/>
      <c r="H158" s="78"/>
      <c r="I158" s="78"/>
      <c r="J158" s="78"/>
      <c r="K158" s="78"/>
      <c r="L158" s="78"/>
      <c r="M158" s="79"/>
    </row>
    <row r="159" spans="1:14" ht="15.75" thickBot="1" x14ac:dyDescent="0.3">
      <c r="A159" s="215" t="s">
        <v>590</v>
      </c>
      <c r="B159" s="215"/>
      <c r="C159" s="106"/>
      <c r="D159" s="107"/>
      <c r="E159" s="211"/>
      <c r="F159" s="212"/>
      <c r="G159" s="77"/>
      <c r="H159" s="78"/>
      <c r="I159" s="78"/>
      <c r="J159" s="78"/>
      <c r="K159" s="78"/>
      <c r="L159" s="78"/>
      <c r="M159" s="79"/>
    </row>
    <row r="160" spans="1:14" ht="15.75" thickTop="1" x14ac:dyDescent="0.25">
      <c r="A160" s="74"/>
      <c r="B160" s="74"/>
      <c r="C160" s="75"/>
      <c r="D160" s="75"/>
      <c r="E160" s="76"/>
      <c r="F160" s="77"/>
      <c r="G160" s="77"/>
      <c r="H160" s="78"/>
      <c r="I160" s="78"/>
      <c r="J160" s="78"/>
      <c r="K160" s="78"/>
      <c r="L160" s="78"/>
      <c r="M160" s="79"/>
    </row>
    <row r="180" ht="72.75" customHeight="1" x14ac:dyDescent="0.25"/>
    <row r="184" ht="12.75" customHeight="1" x14ac:dyDescent="0.25"/>
    <row r="195" ht="15" customHeight="1" x14ac:dyDescent="0.25"/>
    <row r="220" ht="16.5" customHeight="1" x14ac:dyDescent="0.25"/>
    <row r="221" ht="15.75" customHeight="1" x14ac:dyDescent="0.25"/>
    <row r="228" ht="16.5" customHeight="1" x14ac:dyDescent="0.25"/>
    <row r="261" ht="16.5" customHeight="1" x14ac:dyDescent="0.25"/>
  </sheetData>
  <mergeCells count="31">
    <mergeCell ref="B154:F154"/>
    <mergeCell ref="G154:M154"/>
    <mergeCell ref="A156:C156"/>
    <mergeCell ref="E156:F159"/>
    <mergeCell ref="A157:B157"/>
    <mergeCell ref="A158:B158"/>
    <mergeCell ref="A159:B159"/>
    <mergeCell ref="B151:F151"/>
    <mergeCell ref="G151:M151"/>
    <mergeCell ref="B152:F152"/>
    <mergeCell ref="G152:M152"/>
    <mergeCell ref="B153:F153"/>
    <mergeCell ref="G153:M153"/>
    <mergeCell ref="B148:F148"/>
    <mergeCell ref="G148:M148"/>
    <mergeCell ref="B149:F149"/>
    <mergeCell ref="G149:M149"/>
    <mergeCell ref="B150:F150"/>
    <mergeCell ref="G150:M150"/>
    <mergeCell ref="B8:N8"/>
    <mergeCell ref="B9:N9"/>
    <mergeCell ref="A144:F144"/>
    <mergeCell ref="A145:F145"/>
    <mergeCell ref="B147:F147"/>
    <mergeCell ref="G147:M147"/>
    <mergeCell ref="A1:N1"/>
    <mergeCell ref="A2:N2"/>
    <mergeCell ref="B3:E3"/>
    <mergeCell ref="B4:C4"/>
    <mergeCell ref="G4:G5"/>
    <mergeCell ref="H4:M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339" workbookViewId="0">
      <selection sqref="A1:B350"/>
    </sheetView>
  </sheetViews>
  <sheetFormatPr defaultRowHeight="15" x14ac:dyDescent="0.25"/>
  <cols>
    <col min="2" max="2" width="26.28515625" customWidth="1"/>
  </cols>
  <sheetData>
    <row r="1" spans="1:2" x14ac:dyDescent="0.25">
      <c r="A1" s="16"/>
      <c r="B1" s="17"/>
    </row>
    <row r="2" spans="1:2" x14ac:dyDescent="0.25">
      <c r="A2" s="16"/>
      <c r="B2" s="17"/>
    </row>
    <row r="3" spans="1:2" x14ac:dyDescent="0.25">
      <c r="A3" s="16"/>
      <c r="B3" s="17"/>
    </row>
    <row r="4" spans="1:2" ht="45" x14ac:dyDescent="0.25">
      <c r="A4" s="18" t="s">
        <v>21</v>
      </c>
      <c r="B4" s="18" t="s">
        <v>22</v>
      </c>
    </row>
    <row r="5" spans="1:2" x14ac:dyDescent="0.25">
      <c r="A5" s="17"/>
      <c r="B5" s="17"/>
    </row>
    <row r="6" spans="1:2" x14ac:dyDescent="0.25">
      <c r="A6" s="19">
        <v>1</v>
      </c>
      <c r="B6" s="20" t="s">
        <v>23</v>
      </c>
    </row>
    <row r="7" spans="1:2" ht="30" x14ac:dyDescent="0.25">
      <c r="A7" s="19">
        <v>2</v>
      </c>
      <c r="B7" s="20" t="s">
        <v>24</v>
      </c>
    </row>
    <row r="8" spans="1:2" x14ac:dyDescent="0.25">
      <c r="A8" s="19">
        <v>10000</v>
      </c>
      <c r="B8" s="20" t="s">
        <v>25</v>
      </c>
    </row>
    <row r="9" spans="1:2" ht="30" x14ac:dyDescent="0.25">
      <c r="A9" s="19">
        <v>10100</v>
      </c>
      <c r="B9" s="20" t="s">
        <v>26</v>
      </c>
    </row>
    <row r="10" spans="1:2" ht="30" x14ac:dyDescent="0.25">
      <c r="A10" s="19">
        <v>10200</v>
      </c>
      <c r="B10" s="20" t="s">
        <v>27</v>
      </c>
    </row>
    <row r="11" spans="1:2" ht="30" x14ac:dyDescent="0.25">
      <c r="A11" s="19">
        <v>10300</v>
      </c>
      <c r="B11" s="20" t="s">
        <v>28</v>
      </c>
    </row>
    <row r="12" spans="1:2" ht="45" x14ac:dyDescent="0.25">
      <c r="A12" s="19">
        <v>10310</v>
      </c>
      <c r="B12" s="20" t="s">
        <v>29</v>
      </c>
    </row>
    <row r="13" spans="1:2" ht="30" x14ac:dyDescent="0.25">
      <c r="A13" s="19">
        <v>10400</v>
      </c>
      <c r="B13" s="20" t="s">
        <v>30</v>
      </c>
    </row>
    <row r="14" spans="1:2" x14ac:dyDescent="0.25">
      <c r="A14" s="19">
        <v>20000</v>
      </c>
      <c r="B14" s="20" t="s">
        <v>31</v>
      </c>
    </row>
    <row r="15" spans="1:2" ht="45" x14ac:dyDescent="0.25">
      <c r="A15" s="19">
        <v>20001</v>
      </c>
      <c r="B15" s="20" t="s">
        <v>32</v>
      </c>
    </row>
    <row r="16" spans="1:2" ht="45" x14ac:dyDescent="0.25">
      <c r="A16" s="19">
        <v>20100</v>
      </c>
      <c r="B16" s="20" t="s">
        <v>33</v>
      </c>
    </row>
    <row r="17" spans="1:2" ht="30" x14ac:dyDescent="0.25">
      <c r="A17" s="19">
        <v>20200</v>
      </c>
      <c r="B17" s="20" t="s">
        <v>34</v>
      </c>
    </row>
    <row r="18" spans="1:2" ht="30" x14ac:dyDescent="0.25">
      <c r="A18" s="19">
        <v>90000</v>
      </c>
      <c r="B18" s="20" t="s">
        <v>35</v>
      </c>
    </row>
    <row r="19" spans="1:2" x14ac:dyDescent="0.25">
      <c r="A19" s="19">
        <v>100000</v>
      </c>
      <c r="B19" s="20" t="s">
        <v>36</v>
      </c>
    </row>
    <row r="20" spans="1:2" ht="30" x14ac:dyDescent="0.25">
      <c r="A20" s="19">
        <v>100010</v>
      </c>
      <c r="B20" s="20" t="s">
        <v>37</v>
      </c>
    </row>
    <row r="21" spans="1:2" ht="60" x14ac:dyDescent="0.25">
      <c r="A21" s="19">
        <v>100020</v>
      </c>
      <c r="B21" s="20" t="s">
        <v>38</v>
      </c>
    </row>
    <row r="22" spans="1:2" x14ac:dyDescent="0.25">
      <c r="A22" s="19">
        <v>100030</v>
      </c>
      <c r="B22" s="20" t="s">
        <v>39</v>
      </c>
    </row>
    <row r="23" spans="1:2" ht="45" x14ac:dyDescent="0.25">
      <c r="A23" s="19">
        <v>100031</v>
      </c>
      <c r="B23" s="20" t="s">
        <v>40</v>
      </c>
    </row>
    <row r="24" spans="1:2" ht="45" x14ac:dyDescent="0.25">
      <c r="A24" s="19">
        <v>100032</v>
      </c>
      <c r="B24" s="20" t="s">
        <v>41</v>
      </c>
    </row>
    <row r="25" spans="1:2" ht="60" x14ac:dyDescent="0.25">
      <c r="A25" s="19">
        <v>100033</v>
      </c>
      <c r="B25" s="20" t="s">
        <v>42</v>
      </c>
    </row>
    <row r="26" spans="1:2" ht="30" x14ac:dyDescent="0.25">
      <c r="A26" s="19">
        <v>100034</v>
      </c>
      <c r="B26" s="20" t="s">
        <v>43</v>
      </c>
    </row>
    <row r="27" spans="1:2" ht="30" x14ac:dyDescent="0.25">
      <c r="A27" s="19">
        <v>100035</v>
      </c>
      <c r="B27" s="20" t="s">
        <v>44</v>
      </c>
    </row>
    <row r="28" spans="1:2" ht="30" x14ac:dyDescent="0.25">
      <c r="A28" s="19">
        <v>100036</v>
      </c>
      <c r="B28" s="20" t="s">
        <v>45</v>
      </c>
    </row>
    <row r="29" spans="1:2" ht="30" x14ac:dyDescent="0.25">
      <c r="A29" s="19">
        <v>100037</v>
      </c>
      <c r="B29" s="20" t="s">
        <v>46</v>
      </c>
    </row>
    <row r="30" spans="1:2" ht="75" x14ac:dyDescent="0.25">
      <c r="A30" s="19">
        <v>100038</v>
      </c>
      <c r="B30" s="20" t="s">
        <v>47</v>
      </c>
    </row>
    <row r="31" spans="1:2" ht="30" x14ac:dyDescent="0.25">
      <c r="A31" s="19">
        <v>100040</v>
      </c>
      <c r="B31" s="20" t="s">
        <v>48</v>
      </c>
    </row>
    <row r="32" spans="1:2" ht="30" x14ac:dyDescent="0.25">
      <c r="A32" s="19">
        <v>100060</v>
      </c>
      <c r="B32" s="20" t="s">
        <v>49</v>
      </c>
    </row>
    <row r="33" spans="1:2" x14ac:dyDescent="0.25">
      <c r="A33" s="19">
        <v>100070</v>
      </c>
      <c r="B33" s="20" t="s">
        <v>50</v>
      </c>
    </row>
    <row r="34" spans="1:2" ht="45" x14ac:dyDescent="0.25">
      <c r="A34" s="19">
        <v>100100</v>
      </c>
      <c r="B34" s="20" t="s">
        <v>51</v>
      </c>
    </row>
    <row r="35" spans="1:2" x14ac:dyDescent="0.25">
      <c r="A35" s="19">
        <v>100300</v>
      </c>
      <c r="B35" s="20" t="s">
        <v>52</v>
      </c>
    </row>
    <row r="36" spans="1:2" ht="45" x14ac:dyDescent="0.25">
      <c r="A36" s="19">
        <v>100500</v>
      </c>
      <c r="B36" s="20" t="s">
        <v>53</v>
      </c>
    </row>
    <row r="37" spans="1:2" ht="30" x14ac:dyDescent="0.25">
      <c r="A37" s="19">
        <v>100510</v>
      </c>
      <c r="B37" s="20" t="s">
        <v>54</v>
      </c>
    </row>
    <row r="38" spans="1:2" ht="45" x14ac:dyDescent="0.25">
      <c r="A38" s="19">
        <v>100600</v>
      </c>
      <c r="B38" s="20" t="s">
        <v>55</v>
      </c>
    </row>
    <row r="39" spans="1:2" ht="45" x14ac:dyDescent="0.25">
      <c r="A39" s="19">
        <v>110000</v>
      </c>
      <c r="B39" s="20" t="s">
        <v>56</v>
      </c>
    </row>
    <row r="40" spans="1:2" ht="30" x14ac:dyDescent="0.25">
      <c r="A40" s="19">
        <v>110100</v>
      </c>
      <c r="B40" s="20" t="s">
        <v>57</v>
      </c>
    </row>
    <row r="41" spans="1:2" ht="30" x14ac:dyDescent="0.25">
      <c r="A41" s="19">
        <v>110200</v>
      </c>
      <c r="B41" s="20" t="s">
        <v>15</v>
      </c>
    </row>
    <row r="42" spans="1:2" ht="60" x14ac:dyDescent="0.25">
      <c r="A42" s="19">
        <v>110300</v>
      </c>
      <c r="B42" s="20" t="s">
        <v>58</v>
      </c>
    </row>
    <row r="43" spans="1:2" ht="30" x14ac:dyDescent="0.25">
      <c r="A43" s="19">
        <v>120000</v>
      </c>
      <c r="B43" s="20" t="s">
        <v>59</v>
      </c>
    </row>
    <row r="44" spans="1:2" ht="30" x14ac:dyDescent="0.25">
      <c r="A44" s="19">
        <v>120010</v>
      </c>
      <c r="B44" s="20" t="s">
        <v>60</v>
      </c>
    </row>
    <row r="45" spans="1:2" ht="30" x14ac:dyDescent="0.25">
      <c r="A45" s="19">
        <v>120020</v>
      </c>
      <c r="B45" s="20" t="s">
        <v>61</v>
      </c>
    </row>
    <row r="46" spans="1:2" ht="45" x14ac:dyDescent="0.25">
      <c r="A46" s="19">
        <v>120100</v>
      </c>
      <c r="B46" s="20" t="s">
        <v>62</v>
      </c>
    </row>
    <row r="47" spans="1:2" ht="45" x14ac:dyDescent="0.25">
      <c r="A47" s="19">
        <v>120200</v>
      </c>
      <c r="B47" s="20" t="s">
        <v>63</v>
      </c>
    </row>
    <row r="48" spans="1:2" x14ac:dyDescent="0.25">
      <c r="A48" s="19">
        <v>120210</v>
      </c>
      <c r="B48" s="20" t="s">
        <v>64</v>
      </c>
    </row>
    <row r="49" spans="1:2" x14ac:dyDescent="0.25">
      <c r="A49" s="19">
        <v>120300</v>
      </c>
      <c r="B49" s="20" t="s">
        <v>65</v>
      </c>
    </row>
    <row r="50" spans="1:2" ht="30" x14ac:dyDescent="0.25">
      <c r="A50" s="19">
        <v>120400</v>
      </c>
      <c r="B50" s="20" t="s">
        <v>66</v>
      </c>
    </row>
    <row r="51" spans="1:2" ht="30" x14ac:dyDescent="0.25">
      <c r="A51" s="19">
        <v>130000</v>
      </c>
      <c r="B51" s="20" t="s">
        <v>67</v>
      </c>
    </row>
    <row r="52" spans="1:2" ht="45" x14ac:dyDescent="0.25">
      <c r="A52" s="19">
        <v>130100</v>
      </c>
      <c r="B52" s="20" t="s">
        <v>68</v>
      </c>
    </row>
    <row r="53" spans="1:2" ht="30" x14ac:dyDescent="0.25">
      <c r="A53" s="19">
        <v>130200</v>
      </c>
      <c r="B53" s="20" t="s">
        <v>69</v>
      </c>
    </row>
    <row r="54" spans="1:2" ht="30" x14ac:dyDescent="0.25">
      <c r="A54" s="19">
        <v>130300</v>
      </c>
      <c r="B54" s="20" t="s">
        <v>70</v>
      </c>
    </row>
    <row r="55" spans="1:2" ht="30" x14ac:dyDescent="0.25">
      <c r="A55" s="19">
        <v>140000</v>
      </c>
      <c r="B55" s="20" t="s">
        <v>71</v>
      </c>
    </row>
    <row r="56" spans="1:2" ht="30" x14ac:dyDescent="0.25">
      <c r="A56" s="19">
        <v>140001</v>
      </c>
      <c r="B56" s="20" t="s">
        <v>72</v>
      </c>
    </row>
    <row r="57" spans="1:2" ht="90" x14ac:dyDescent="0.25">
      <c r="A57" s="19">
        <v>140002</v>
      </c>
      <c r="B57" s="20" t="s">
        <v>73</v>
      </c>
    </row>
    <row r="58" spans="1:2" ht="30" x14ac:dyDescent="0.25">
      <c r="A58" s="19">
        <v>140010</v>
      </c>
      <c r="B58" s="20" t="s">
        <v>74</v>
      </c>
    </row>
    <row r="59" spans="1:2" x14ac:dyDescent="0.25">
      <c r="A59" s="19">
        <v>140020</v>
      </c>
      <c r="B59" s="20" t="s">
        <v>75</v>
      </c>
    </row>
    <row r="60" spans="1:2" x14ac:dyDescent="0.25">
      <c r="A60" s="19">
        <v>140101</v>
      </c>
      <c r="B60" s="20" t="s">
        <v>76</v>
      </c>
    </row>
    <row r="61" spans="1:2" x14ac:dyDescent="0.25">
      <c r="A61" s="19">
        <v>140102</v>
      </c>
      <c r="B61" s="20" t="s">
        <v>77</v>
      </c>
    </row>
    <row r="62" spans="1:2" x14ac:dyDescent="0.25">
      <c r="A62" s="19">
        <v>140103</v>
      </c>
      <c r="B62" s="20" t="s">
        <v>78</v>
      </c>
    </row>
    <row r="63" spans="1:2" ht="30" x14ac:dyDescent="0.25">
      <c r="A63" s="19">
        <v>140104</v>
      </c>
      <c r="B63" s="20" t="s">
        <v>79</v>
      </c>
    </row>
    <row r="64" spans="1:2" ht="60" x14ac:dyDescent="0.25">
      <c r="A64" s="19">
        <v>140105</v>
      </c>
      <c r="B64" s="20" t="s">
        <v>80</v>
      </c>
    </row>
    <row r="65" spans="1:2" ht="30" x14ac:dyDescent="0.25">
      <c r="A65" s="19">
        <v>140106</v>
      </c>
      <c r="B65" s="20" t="s">
        <v>81</v>
      </c>
    </row>
    <row r="66" spans="1:2" x14ac:dyDescent="0.25">
      <c r="A66" s="19">
        <v>140107</v>
      </c>
      <c r="B66" s="20" t="s">
        <v>82</v>
      </c>
    </row>
    <row r="67" spans="1:2" x14ac:dyDescent="0.25">
      <c r="A67" s="19">
        <v>140108</v>
      </c>
      <c r="B67" s="20" t="s">
        <v>83</v>
      </c>
    </row>
    <row r="68" spans="1:2" x14ac:dyDescent="0.25">
      <c r="A68" s="19">
        <v>140109</v>
      </c>
      <c r="B68" s="20" t="s">
        <v>84</v>
      </c>
    </row>
    <row r="69" spans="1:2" x14ac:dyDescent="0.25">
      <c r="A69" s="19">
        <v>140110</v>
      </c>
      <c r="B69" s="20" t="s">
        <v>85</v>
      </c>
    </row>
    <row r="70" spans="1:2" x14ac:dyDescent="0.25">
      <c r="A70" s="19">
        <v>140111</v>
      </c>
      <c r="B70" s="20" t="s">
        <v>86</v>
      </c>
    </row>
    <row r="71" spans="1:2" x14ac:dyDescent="0.25">
      <c r="A71" s="19">
        <v>140112</v>
      </c>
      <c r="B71" s="20" t="s">
        <v>87</v>
      </c>
    </row>
    <row r="72" spans="1:2" x14ac:dyDescent="0.25">
      <c r="A72" s="19">
        <v>140113</v>
      </c>
      <c r="B72" s="20" t="s">
        <v>88</v>
      </c>
    </row>
    <row r="73" spans="1:2" x14ac:dyDescent="0.25">
      <c r="A73" s="19">
        <v>140114</v>
      </c>
      <c r="B73" s="20" t="s">
        <v>89</v>
      </c>
    </row>
    <row r="74" spans="1:2" x14ac:dyDescent="0.25">
      <c r="A74" s="19">
        <v>140115</v>
      </c>
      <c r="B74" s="20" t="s">
        <v>90</v>
      </c>
    </row>
    <row r="75" spans="1:2" ht="30" x14ac:dyDescent="0.25">
      <c r="A75" s="19">
        <v>140116</v>
      </c>
      <c r="B75" s="20" t="s">
        <v>91</v>
      </c>
    </row>
    <row r="76" spans="1:2" ht="45" x14ac:dyDescent="0.25">
      <c r="A76" s="19">
        <v>140117</v>
      </c>
      <c r="B76" s="20" t="s">
        <v>92</v>
      </c>
    </row>
    <row r="77" spans="1:2" ht="60" x14ac:dyDescent="0.25">
      <c r="A77" s="19">
        <v>140118</v>
      </c>
      <c r="B77" s="20" t="s">
        <v>93</v>
      </c>
    </row>
    <row r="78" spans="1:2" ht="60" x14ac:dyDescent="0.25">
      <c r="A78" s="19">
        <v>140119</v>
      </c>
      <c r="B78" s="20" t="s">
        <v>94</v>
      </c>
    </row>
    <row r="79" spans="1:2" ht="60" x14ac:dyDescent="0.25">
      <c r="A79" s="19">
        <v>140120</v>
      </c>
      <c r="B79" s="20" t="s">
        <v>95</v>
      </c>
    </row>
    <row r="80" spans="1:2" x14ac:dyDescent="0.25">
      <c r="A80" s="19">
        <v>140121</v>
      </c>
      <c r="B80" s="20" t="s">
        <v>96</v>
      </c>
    </row>
    <row r="81" spans="1:2" x14ac:dyDescent="0.25">
      <c r="A81" s="19">
        <v>140122</v>
      </c>
      <c r="B81" s="20" t="s">
        <v>97</v>
      </c>
    </row>
    <row r="82" spans="1:2" ht="30" x14ac:dyDescent="0.25">
      <c r="A82" s="19">
        <v>140123</v>
      </c>
      <c r="B82" s="20" t="s">
        <v>98</v>
      </c>
    </row>
    <row r="83" spans="1:2" x14ac:dyDescent="0.25">
      <c r="A83" s="19">
        <v>140124</v>
      </c>
      <c r="B83" s="20" t="s">
        <v>99</v>
      </c>
    </row>
    <row r="84" spans="1:2" ht="30" x14ac:dyDescent="0.25">
      <c r="A84" s="19">
        <v>140125</v>
      </c>
      <c r="B84" s="20" t="s">
        <v>100</v>
      </c>
    </row>
    <row r="85" spans="1:2" ht="30" x14ac:dyDescent="0.25">
      <c r="A85" s="19">
        <v>140126</v>
      </c>
      <c r="B85" s="20" t="s">
        <v>101</v>
      </c>
    </row>
    <row r="86" spans="1:2" x14ac:dyDescent="0.25">
      <c r="A86" s="19">
        <v>140127</v>
      </c>
      <c r="B86" s="20" t="s">
        <v>102</v>
      </c>
    </row>
    <row r="87" spans="1:2" x14ac:dyDescent="0.25">
      <c r="A87" s="19">
        <v>140128</v>
      </c>
      <c r="B87" s="20" t="s">
        <v>103</v>
      </c>
    </row>
    <row r="88" spans="1:2" ht="30" x14ac:dyDescent="0.25">
      <c r="A88" s="19">
        <v>140129</v>
      </c>
      <c r="B88" s="20" t="s">
        <v>104</v>
      </c>
    </row>
    <row r="89" spans="1:2" x14ac:dyDescent="0.25">
      <c r="A89" s="19">
        <v>140130</v>
      </c>
      <c r="B89" s="20" t="s">
        <v>105</v>
      </c>
    </row>
    <row r="90" spans="1:2" x14ac:dyDescent="0.25">
      <c r="A90" s="19">
        <v>140131</v>
      </c>
      <c r="B90" s="20" t="s">
        <v>106</v>
      </c>
    </row>
    <row r="91" spans="1:2" x14ac:dyDescent="0.25">
      <c r="A91" s="19">
        <v>140132</v>
      </c>
      <c r="B91" s="20" t="s">
        <v>107</v>
      </c>
    </row>
    <row r="92" spans="1:2" ht="30" x14ac:dyDescent="0.25">
      <c r="A92" s="19">
        <v>140133</v>
      </c>
      <c r="B92" s="20" t="s">
        <v>108</v>
      </c>
    </row>
    <row r="93" spans="1:2" ht="30" x14ac:dyDescent="0.25">
      <c r="A93" s="19">
        <v>140134</v>
      </c>
      <c r="B93" s="20" t="s">
        <v>109</v>
      </c>
    </row>
    <row r="94" spans="1:2" x14ac:dyDescent="0.25">
      <c r="A94" s="19">
        <v>140135</v>
      </c>
      <c r="B94" s="20" t="s">
        <v>110</v>
      </c>
    </row>
    <row r="95" spans="1:2" x14ac:dyDescent="0.25">
      <c r="A95" s="19">
        <v>140136</v>
      </c>
      <c r="B95" s="20" t="s">
        <v>111</v>
      </c>
    </row>
    <row r="96" spans="1:2" x14ac:dyDescent="0.25">
      <c r="A96" s="19">
        <v>140137</v>
      </c>
      <c r="B96" s="20" t="s">
        <v>112</v>
      </c>
    </row>
    <row r="97" spans="1:2" x14ac:dyDescent="0.25">
      <c r="A97" s="19">
        <v>140138</v>
      </c>
      <c r="B97" s="20" t="s">
        <v>113</v>
      </c>
    </row>
    <row r="98" spans="1:2" ht="30" x14ac:dyDescent="0.25">
      <c r="A98" s="19">
        <v>140139</v>
      </c>
      <c r="B98" s="20" t="s">
        <v>114</v>
      </c>
    </row>
    <row r="99" spans="1:2" ht="30" x14ac:dyDescent="0.25">
      <c r="A99" s="19">
        <v>140140</v>
      </c>
      <c r="B99" s="20" t="s">
        <v>115</v>
      </c>
    </row>
    <row r="100" spans="1:2" ht="30" x14ac:dyDescent="0.25">
      <c r="A100" s="19">
        <v>140201</v>
      </c>
      <c r="B100" s="20" t="s">
        <v>116</v>
      </c>
    </row>
    <row r="101" spans="1:2" ht="30" x14ac:dyDescent="0.25">
      <c r="A101" s="19">
        <v>140202</v>
      </c>
      <c r="B101" s="20" t="s">
        <v>117</v>
      </c>
    </row>
    <row r="102" spans="1:2" ht="30" x14ac:dyDescent="0.25">
      <c r="A102" s="19">
        <v>140203</v>
      </c>
      <c r="B102" s="20" t="s">
        <v>118</v>
      </c>
    </row>
    <row r="103" spans="1:2" x14ac:dyDescent="0.25">
      <c r="A103" s="19">
        <v>140204</v>
      </c>
      <c r="B103" s="20" t="s">
        <v>119</v>
      </c>
    </row>
    <row r="104" spans="1:2" x14ac:dyDescent="0.25">
      <c r="A104" s="19">
        <v>140205</v>
      </c>
      <c r="B104" s="20" t="s">
        <v>120</v>
      </c>
    </row>
    <row r="105" spans="1:2" x14ac:dyDescent="0.25">
      <c r="A105" s="19">
        <v>140206</v>
      </c>
      <c r="B105" s="20" t="s">
        <v>121</v>
      </c>
    </row>
    <row r="106" spans="1:2" x14ac:dyDescent="0.25">
      <c r="A106" s="19">
        <v>140207</v>
      </c>
      <c r="B106" s="20" t="s">
        <v>122</v>
      </c>
    </row>
    <row r="107" spans="1:2" ht="30" x14ac:dyDescent="0.25">
      <c r="A107" s="19">
        <v>140208</v>
      </c>
      <c r="B107" s="20" t="s">
        <v>123</v>
      </c>
    </row>
    <row r="108" spans="1:2" ht="30" x14ac:dyDescent="0.25">
      <c r="A108" s="19">
        <v>140209</v>
      </c>
      <c r="B108" s="20" t="s">
        <v>124</v>
      </c>
    </row>
    <row r="109" spans="1:2" x14ac:dyDescent="0.25">
      <c r="A109" s="19">
        <v>140210</v>
      </c>
      <c r="B109" s="20" t="s">
        <v>125</v>
      </c>
    </row>
    <row r="110" spans="1:2" ht="30" x14ac:dyDescent="0.25">
      <c r="A110" s="19">
        <v>140211</v>
      </c>
      <c r="B110" s="20" t="s">
        <v>126</v>
      </c>
    </row>
    <row r="111" spans="1:2" ht="30" x14ac:dyDescent="0.25">
      <c r="A111" s="19">
        <v>140301</v>
      </c>
      <c r="B111" s="20" t="s">
        <v>127</v>
      </c>
    </row>
    <row r="112" spans="1:2" ht="30" x14ac:dyDescent="0.25">
      <c r="A112" s="19">
        <v>140302</v>
      </c>
      <c r="B112" s="20" t="s">
        <v>128</v>
      </c>
    </row>
    <row r="113" spans="1:2" x14ac:dyDescent="0.25">
      <c r="A113" s="19">
        <v>140303</v>
      </c>
      <c r="B113" s="20" t="s">
        <v>129</v>
      </c>
    </row>
    <row r="114" spans="1:2" ht="30" x14ac:dyDescent="0.25">
      <c r="A114" s="19">
        <v>140304</v>
      </c>
      <c r="B114" s="20" t="s">
        <v>130</v>
      </c>
    </row>
    <row r="115" spans="1:2" ht="30" x14ac:dyDescent="0.25">
      <c r="A115" s="19">
        <v>140400</v>
      </c>
      <c r="B115" s="20" t="s">
        <v>131</v>
      </c>
    </row>
    <row r="116" spans="1:2" ht="30" x14ac:dyDescent="0.25">
      <c r="A116" s="19">
        <v>140401</v>
      </c>
      <c r="B116" s="20" t="s">
        <v>132</v>
      </c>
    </row>
    <row r="117" spans="1:2" ht="30" x14ac:dyDescent="0.25">
      <c r="A117" s="19">
        <v>140402</v>
      </c>
      <c r="B117" s="20" t="s">
        <v>133</v>
      </c>
    </row>
    <row r="118" spans="1:2" ht="60" x14ac:dyDescent="0.25">
      <c r="A118" s="19">
        <v>140403</v>
      </c>
      <c r="B118" s="20" t="s">
        <v>134</v>
      </c>
    </row>
    <row r="119" spans="1:2" ht="45" x14ac:dyDescent="0.25">
      <c r="A119" s="19">
        <v>140404</v>
      </c>
      <c r="B119" s="20" t="s">
        <v>135</v>
      </c>
    </row>
    <row r="120" spans="1:2" x14ac:dyDescent="0.25">
      <c r="A120" s="19">
        <v>140500</v>
      </c>
      <c r="B120" s="20" t="s">
        <v>136</v>
      </c>
    </row>
    <row r="121" spans="1:2" ht="45" x14ac:dyDescent="0.25">
      <c r="A121" s="19">
        <v>140510</v>
      </c>
      <c r="B121" s="20" t="s">
        <v>137</v>
      </c>
    </row>
    <row r="122" spans="1:2" x14ac:dyDescent="0.25">
      <c r="A122" s="19">
        <v>140515</v>
      </c>
      <c r="B122" s="20" t="s">
        <v>138</v>
      </c>
    </row>
    <row r="123" spans="1:2" ht="30" x14ac:dyDescent="0.25">
      <c r="A123" s="19">
        <v>140520</v>
      </c>
      <c r="B123" s="20" t="s">
        <v>139</v>
      </c>
    </row>
    <row r="124" spans="1:2" ht="30" x14ac:dyDescent="0.25">
      <c r="A124" s="19">
        <v>140530</v>
      </c>
      <c r="B124" s="20" t="s">
        <v>140</v>
      </c>
    </row>
    <row r="125" spans="1:2" ht="45" x14ac:dyDescent="0.25">
      <c r="A125" s="19">
        <v>140540</v>
      </c>
      <c r="B125" s="20" t="s">
        <v>141</v>
      </c>
    </row>
    <row r="126" spans="1:2" x14ac:dyDescent="0.25">
      <c r="A126" s="19">
        <v>140550</v>
      </c>
      <c r="B126" s="20" t="s">
        <v>142</v>
      </c>
    </row>
    <row r="127" spans="1:2" x14ac:dyDescent="0.25">
      <c r="A127" s="19">
        <v>140560</v>
      </c>
      <c r="B127" s="20" t="s">
        <v>143</v>
      </c>
    </row>
    <row r="128" spans="1:2" ht="30" x14ac:dyDescent="0.25">
      <c r="A128" s="19">
        <v>140570</v>
      </c>
      <c r="B128" s="20" t="s">
        <v>144</v>
      </c>
    </row>
    <row r="129" spans="1:2" ht="30" x14ac:dyDescent="0.25">
      <c r="A129" s="19">
        <v>140580</v>
      </c>
      <c r="B129" s="20" t="s">
        <v>145</v>
      </c>
    </row>
    <row r="130" spans="1:2" ht="30" x14ac:dyDescent="0.25">
      <c r="A130" s="19">
        <v>140590</v>
      </c>
      <c r="B130" s="20" t="s">
        <v>146</v>
      </c>
    </row>
    <row r="131" spans="1:2" ht="120" x14ac:dyDescent="0.25">
      <c r="A131" s="19">
        <v>140600</v>
      </c>
      <c r="B131" s="20" t="s">
        <v>147</v>
      </c>
    </row>
    <row r="132" spans="1:2" ht="30" x14ac:dyDescent="0.25">
      <c r="A132" s="19">
        <v>150000</v>
      </c>
      <c r="B132" s="20" t="s">
        <v>148</v>
      </c>
    </row>
    <row r="133" spans="1:2" ht="45" x14ac:dyDescent="0.25">
      <c r="A133" s="21">
        <v>150010</v>
      </c>
      <c r="B133" s="22" t="s">
        <v>149</v>
      </c>
    </row>
    <row r="134" spans="1:2" ht="45" x14ac:dyDescent="0.25">
      <c r="A134" s="21">
        <v>150020</v>
      </c>
      <c r="B134" s="22" t="s">
        <v>150</v>
      </c>
    </row>
    <row r="135" spans="1:2" ht="30" x14ac:dyDescent="0.25">
      <c r="A135" s="21">
        <v>150030</v>
      </c>
      <c r="B135" s="22" t="s">
        <v>151</v>
      </c>
    </row>
    <row r="136" spans="1:2" ht="45" x14ac:dyDescent="0.25">
      <c r="A136" s="21">
        <v>150040</v>
      </c>
      <c r="B136" s="22" t="s">
        <v>152</v>
      </c>
    </row>
    <row r="137" spans="1:2" ht="45" x14ac:dyDescent="0.25">
      <c r="A137" s="19">
        <v>150050</v>
      </c>
      <c r="B137" s="20" t="s">
        <v>153</v>
      </c>
    </row>
    <row r="138" spans="1:2" ht="45" x14ac:dyDescent="0.25">
      <c r="A138" s="21">
        <v>150060</v>
      </c>
      <c r="B138" s="22" t="s">
        <v>154</v>
      </c>
    </row>
    <row r="139" spans="1:2" ht="75" x14ac:dyDescent="0.25">
      <c r="A139" s="19">
        <v>150070</v>
      </c>
      <c r="B139" s="20" t="s">
        <v>155</v>
      </c>
    </row>
    <row r="140" spans="1:2" ht="45" x14ac:dyDescent="0.25">
      <c r="A140" s="19">
        <v>150080</v>
      </c>
      <c r="B140" s="20" t="s">
        <v>156</v>
      </c>
    </row>
    <row r="141" spans="1:2" ht="45" x14ac:dyDescent="0.25">
      <c r="A141" s="19">
        <v>150090</v>
      </c>
      <c r="B141" s="20" t="s">
        <v>157</v>
      </c>
    </row>
    <row r="142" spans="1:2" x14ac:dyDescent="0.25">
      <c r="A142" s="19">
        <v>150100</v>
      </c>
      <c r="B142" s="20" t="s">
        <v>158</v>
      </c>
    </row>
    <row r="143" spans="1:2" x14ac:dyDescent="0.25">
      <c r="A143" s="19">
        <v>150200</v>
      </c>
      <c r="B143" s="20" t="s">
        <v>159</v>
      </c>
    </row>
    <row r="144" spans="1:2" ht="60" x14ac:dyDescent="0.25">
      <c r="A144" s="19">
        <v>150300</v>
      </c>
      <c r="B144" s="20" t="s">
        <v>160</v>
      </c>
    </row>
    <row r="145" spans="1:2" ht="180" x14ac:dyDescent="0.25">
      <c r="A145" s="21">
        <v>150400</v>
      </c>
      <c r="B145" s="22" t="s">
        <v>161</v>
      </c>
    </row>
    <row r="146" spans="1:2" ht="60" x14ac:dyDescent="0.25">
      <c r="A146" s="21">
        <v>150500</v>
      </c>
      <c r="B146" s="22" t="s">
        <v>162</v>
      </c>
    </row>
    <row r="147" spans="1:2" ht="60" x14ac:dyDescent="0.25">
      <c r="A147" s="19">
        <v>150600</v>
      </c>
      <c r="B147" s="20" t="s">
        <v>163</v>
      </c>
    </row>
    <row r="148" spans="1:2" ht="30" x14ac:dyDescent="0.25">
      <c r="A148" s="19">
        <v>160000</v>
      </c>
      <c r="B148" s="20" t="s">
        <v>164</v>
      </c>
    </row>
    <row r="149" spans="1:2" x14ac:dyDescent="0.25">
      <c r="A149" s="19">
        <v>160001</v>
      </c>
      <c r="B149" s="20" t="s">
        <v>165</v>
      </c>
    </row>
    <row r="150" spans="1:2" ht="60" x14ac:dyDescent="0.25">
      <c r="A150" s="19">
        <v>160010</v>
      </c>
      <c r="B150" s="20" t="s">
        <v>166</v>
      </c>
    </row>
    <row r="151" spans="1:2" x14ac:dyDescent="0.25">
      <c r="A151" s="19">
        <v>160050</v>
      </c>
      <c r="B151" s="20" t="s">
        <v>167</v>
      </c>
    </row>
    <row r="152" spans="1:2" ht="45" x14ac:dyDescent="0.25">
      <c r="A152" s="19">
        <v>160100</v>
      </c>
      <c r="B152" s="20" t="s">
        <v>168</v>
      </c>
    </row>
    <row r="153" spans="1:2" ht="60" x14ac:dyDescent="0.25">
      <c r="A153" s="19">
        <v>160101</v>
      </c>
      <c r="B153" s="20" t="s">
        <v>169</v>
      </c>
    </row>
    <row r="154" spans="1:2" ht="30" x14ac:dyDescent="0.25">
      <c r="A154" s="19">
        <v>160102</v>
      </c>
      <c r="B154" s="20" t="s">
        <v>170</v>
      </c>
    </row>
    <row r="155" spans="1:2" x14ac:dyDescent="0.25">
      <c r="A155" s="19">
        <v>160103</v>
      </c>
      <c r="B155" s="20" t="s">
        <v>171</v>
      </c>
    </row>
    <row r="156" spans="1:2" ht="120" x14ac:dyDescent="0.25">
      <c r="A156" s="19">
        <v>160104</v>
      </c>
      <c r="B156" s="20" t="s">
        <v>172</v>
      </c>
    </row>
    <row r="157" spans="1:2" ht="30" x14ac:dyDescent="0.25">
      <c r="A157" s="19">
        <v>160105</v>
      </c>
      <c r="B157" s="20" t="s">
        <v>173</v>
      </c>
    </row>
    <row r="158" spans="1:2" ht="45" x14ac:dyDescent="0.25">
      <c r="A158" s="19">
        <v>160106</v>
      </c>
      <c r="B158" s="20" t="s">
        <v>174</v>
      </c>
    </row>
    <row r="159" spans="1:2" ht="30" x14ac:dyDescent="0.25">
      <c r="A159" s="19">
        <v>160107</v>
      </c>
      <c r="B159" s="20" t="s">
        <v>175</v>
      </c>
    </row>
    <row r="160" spans="1:2" ht="45" x14ac:dyDescent="0.25">
      <c r="A160" s="19">
        <v>160108</v>
      </c>
      <c r="B160" s="20" t="s">
        <v>176</v>
      </c>
    </row>
    <row r="161" spans="1:2" ht="30" x14ac:dyDescent="0.25">
      <c r="A161" s="19">
        <v>160109</v>
      </c>
      <c r="B161" s="20" t="s">
        <v>177</v>
      </c>
    </row>
    <row r="162" spans="1:2" x14ac:dyDescent="0.25">
      <c r="A162" s="19">
        <v>160110</v>
      </c>
      <c r="B162" s="20" t="s">
        <v>178</v>
      </c>
    </row>
    <row r="163" spans="1:2" ht="75" x14ac:dyDescent="0.25">
      <c r="A163" s="19">
        <v>160111</v>
      </c>
      <c r="B163" s="20" t="s">
        <v>179</v>
      </c>
    </row>
    <row r="164" spans="1:2" ht="45" x14ac:dyDescent="0.25">
      <c r="A164" s="19">
        <v>160112</v>
      </c>
      <c r="B164" s="20" t="s">
        <v>180</v>
      </c>
    </row>
    <row r="165" spans="1:2" ht="120" x14ac:dyDescent="0.25">
      <c r="A165" s="19">
        <v>160113</v>
      </c>
      <c r="B165" s="20" t="s">
        <v>181</v>
      </c>
    </row>
    <row r="166" spans="1:2" ht="30" x14ac:dyDescent="0.25">
      <c r="A166" s="19">
        <v>160114</v>
      </c>
      <c r="B166" s="20" t="s">
        <v>182</v>
      </c>
    </row>
    <row r="167" spans="1:2" x14ac:dyDescent="0.25">
      <c r="A167" s="19">
        <v>160115</v>
      </c>
      <c r="B167" s="20" t="s">
        <v>183</v>
      </c>
    </row>
    <row r="168" spans="1:2" ht="30" x14ac:dyDescent="0.25">
      <c r="A168" s="19">
        <v>160116</v>
      </c>
      <c r="B168" s="20" t="s">
        <v>184</v>
      </c>
    </row>
    <row r="169" spans="1:2" ht="30" x14ac:dyDescent="0.25">
      <c r="A169" s="19">
        <v>160117</v>
      </c>
      <c r="B169" s="20" t="s">
        <v>185</v>
      </c>
    </row>
    <row r="170" spans="1:2" ht="60" x14ac:dyDescent="0.25">
      <c r="A170" s="19">
        <v>160118</v>
      </c>
      <c r="B170" s="20" t="s">
        <v>186</v>
      </c>
    </row>
    <row r="171" spans="1:2" ht="45" x14ac:dyDescent="0.25">
      <c r="A171" s="19">
        <v>160119</v>
      </c>
      <c r="B171" s="20" t="s">
        <v>187</v>
      </c>
    </row>
    <row r="172" spans="1:2" x14ac:dyDescent="0.25">
      <c r="A172" s="19">
        <v>160120</v>
      </c>
      <c r="B172" s="20" t="s">
        <v>188</v>
      </c>
    </row>
    <row r="173" spans="1:2" ht="45" x14ac:dyDescent="0.25">
      <c r="A173" s="19">
        <v>160121</v>
      </c>
      <c r="B173" s="20" t="s">
        <v>189</v>
      </c>
    </row>
    <row r="174" spans="1:2" ht="30" x14ac:dyDescent="0.25">
      <c r="A174" s="19">
        <v>160122</v>
      </c>
      <c r="B174" s="20" t="s">
        <v>190</v>
      </c>
    </row>
    <row r="175" spans="1:2" x14ac:dyDescent="0.25">
      <c r="A175" s="19">
        <v>160124</v>
      </c>
      <c r="B175" s="20" t="s">
        <v>191</v>
      </c>
    </row>
    <row r="176" spans="1:2" ht="45" x14ac:dyDescent="0.25">
      <c r="A176" s="19">
        <v>160127</v>
      </c>
      <c r="B176" s="20" t="s">
        <v>192</v>
      </c>
    </row>
    <row r="177" spans="1:2" ht="45" x14ac:dyDescent="0.25">
      <c r="A177" s="19">
        <v>160128</v>
      </c>
      <c r="B177" s="20" t="s">
        <v>193</v>
      </c>
    </row>
    <row r="178" spans="1:2" ht="30" x14ac:dyDescent="0.25">
      <c r="A178" s="19">
        <v>160201</v>
      </c>
      <c r="B178" s="20" t="s">
        <v>194</v>
      </c>
    </row>
    <row r="179" spans="1:2" ht="45" x14ac:dyDescent="0.25">
      <c r="A179" s="19">
        <v>160202</v>
      </c>
      <c r="B179" s="20" t="s">
        <v>195</v>
      </c>
    </row>
    <row r="180" spans="1:2" ht="30" x14ac:dyDescent="0.25">
      <c r="A180" s="19">
        <v>160203</v>
      </c>
      <c r="B180" s="20" t="s">
        <v>196</v>
      </c>
    </row>
    <row r="181" spans="1:2" ht="45" x14ac:dyDescent="0.25">
      <c r="A181" s="19">
        <v>160204</v>
      </c>
      <c r="B181" s="20" t="s">
        <v>197</v>
      </c>
    </row>
    <row r="182" spans="1:2" ht="30" x14ac:dyDescent="0.25">
      <c r="A182" s="19">
        <v>160205</v>
      </c>
      <c r="B182" s="20" t="s">
        <v>198</v>
      </c>
    </row>
    <row r="183" spans="1:2" ht="30" x14ac:dyDescent="0.25">
      <c r="A183" s="19">
        <v>160206</v>
      </c>
      <c r="B183" s="20" t="s">
        <v>199</v>
      </c>
    </row>
    <row r="184" spans="1:2" ht="30" x14ac:dyDescent="0.25">
      <c r="A184" s="19">
        <v>160207</v>
      </c>
      <c r="B184" s="20" t="s">
        <v>200</v>
      </c>
    </row>
    <row r="185" spans="1:2" ht="45" x14ac:dyDescent="0.25">
      <c r="A185" s="19">
        <v>160208</v>
      </c>
      <c r="B185" s="20" t="s">
        <v>201</v>
      </c>
    </row>
    <row r="186" spans="1:2" ht="30" x14ac:dyDescent="0.25">
      <c r="A186" s="19">
        <v>160209</v>
      </c>
      <c r="B186" s="20" t="s">
        <v>202</v>
      </c>
    </row>
    <row r="187" spans="1:2" ht="30" x14ac:dyDescent="0.25">
      <c r="A187" s="19">
        <v>160210</v>
      </c>
      <c r="B187" s="20" t="s">
        <v>203</v>
      </c>
    </row>
    <row r="188" spans="1:2" ht="45" x14ac:dyDescent="0.25">
      <c r="A188" s="19">
        <v>160211</v>
      </c>
      <c r="B188" s="20" t="s">
        <v>204</v>
      </c>
    </row>
    <row r="189" spans="1:2" ht="30" x14ac:dyDescent="0.25">
      <c r="A189" s="19">
        <v>160212</v>
      </c>
      <c r="B189" s="20" t="s">
        <v>205</v>
      </c>
    </row>
    <row r="190" spans="1:2" ht="105" x14ac:dyDescent="0.25">
      <c r="A190" s="19">
        <v>160213</v>
      </c>
      <c r="B190" s="20" t="s">
        <v>206</v>
      </c>
    </row>
    <row r="191" spans="1:2" ht="30" x14ac:dyDescent="0.25">
      <c r="A191" s="19">
        <v>160214</v>
      </c>
      <c r="B191" s="20" t="s">
        <v>207</v>
      </c>
    </row>
    <row r="192" spans="1:2" ht="30" x14ac:dyDescent="0.25">
      <c r="A192" s="19">
        <v>160215</v>
      </c>
      <c r="B192" s="20" t="s">
        <v>208</v>
      </c>
    </row>
    <row r="193" spans="1:2" ht="45" x14ac:dyDescent="0.25">
      <c r="A193" s="19">
        <v>160216</v>
      </c>
      <c r="B193" s="20" t="s">
        <v>209</v>
      </c>
    </row>
    <row r="194" spans="1:2" ht="45" x14ac:dyDescent="0.25">
      <c r="A194" s="19">
        <v>160217</v>
      </c>
      <c r="B194" s="20" t="s">
        <v>210</v>
      </c>
    </row>
    <row r="195" spans="1:2" ht="45" x14ac:dyDescent="0.25">
      <c r="A195" s="19">
        <v>160218</v>
      </c>
      <c r="B195" s="20" t="s">
        <v>211</v>
      </c>
    </row>
    <row r="196" spans="1:2" ht="30" x14ac:dyDescent="0.25">
      <c r="A196" s="19">
        <v>160219</v>
      </c>
      <c r="B196" s="20" t="s">
        <v>212</v>
      </c>
    </row>
    <row r="197" spans="1:2" ht="30" x14ac:dyDescent="0.25">
      <c r="A197" s="19">
        <v>160220</v>
      </c>
      <c r="B197" s="20" t="s">
        <v>213</v>
      </c>
    </row>
    <row r="198" spans="1:2" ht="45" x14ac:dyDescent="0.25">
      <c r="A198" s="19">
        <v>160221</v>
      </c>
      <c r="B198" s="20" t="s">
        <v>214</v>
      </c>
    </row>
    <row r="199" spans="1:2" ht="30" x14ac:dyDescent="0.25">
      <c r="A199" s="19">
        <v>160222</v>
      </c>
      <c r="B199" s="20" t="s">
        <v>215</v>
      </c>
    </row>
    <row r="200" spans="1:2" x14ac:dyDescent="0.25">
      <c r="A200" s="19">
        <v>160224</v>
      </c>
      <c r="B200" s="20" t="s">
        <v>216</v>
      </c>
    </row>
    <row r="201" spans="1:2" ht="30" x14ac:dyDescent="0.25">
      <c r="A201" s="19">
        <v>160227</v>
      </c>
      <c r="B201" s="20" t="s">
        <v>217</v>
      </c>
    </row>
    <row r="202" spans="1:2" ht="30" x14ac:dyDescent="0.25">
      <c r="A202" s="19">
        <v>160228</v>
      </c>
      <c r="B202" s="20" t="s">
        <v>218</v>
      </c>
    </row>
    <row r="203" spans="1:2" x14ac:dyDescent="0.25">
      <c r="A203" s="19">
        <v>170000</v>
      </c>
      <c r="B203" s="20" t="s">
        <v>219</v>
      </c>
    </row>
    <row r="204" spans="1:2" x14ac:dyDescent="0.25">
      <c r="A204" s="19">
        <v>180000</v>
      </c>
      <c r="B204" s="20" t="s">
        <v>220</v>
      </c>
    </row>
    <row r="205" spans="1:2" ht="30" x14ac:dyDescent="0.25">
      <c r="A205" s="19">
        <v>180010</v>
      </c>
      <c r="B205" s="20" t="s">
        <v>221</v>
      </c>
    </row>
    <row r="206" spans="1:2" x14ac:dyDescent="0.25">
      <c r="A206" s="19">
        <v>180020</v>
      </c>
      <c r="B206" s="20" t="s">
        <v>222</v>
      </c>
    </row>
    <row r="207" spans="1:2" ht="30" x14ac:dyDescent="0.25">
      <c r="A207" s="19">
        <v>180030</v>
      </c>
      <c r="B207" s="20" t="s">
        <v>223</v>
      </c>
    </row>
    <row r="208" spans="1:2" ht="75" x14ac:dyDescent="0.25">
      <c r="A208" s="19">
        <v>190000</v>
      </c>
      <c r="B208" s="20" t="s">
        <v>224</v>
      </c>
    </row>
    <row r="209" spans="1:2" ht="75" x14ac:dyDescent="0.25">
      <c r="A209" s="19">
        <v>200000</v>
      </c>
      <c r="B209" s="20" t="s">
        <v>225</v>
      </c>
    </row>
    <row r="210" spans="1:2" ht="120" x14ac:dyDescent="0.25">
      <c r="A210" s="19">
        <v>200100</v>
      </c>
      <c r="B210" s="20" t="s">
        <v>226</v>
      </c>
    </row>
    <row r="211" spans="1:2" ht="60" x14ac:dyDescent="0.25">
      <c r="A211" s="19">
        <v>200200</v>
      </c>
      <c r="B211" s="20" t="s">
        <v>227</v>
      </c>
    </row>
    <row r="212" spans="1:2" ht="135" x14ac:dyDescent="0.25">
      <c r="A212" s="19">
        <v>200300</v>
      </c>
      <c r="B212" s="20" t="s">
        <v>228</v>
      </c>
    </row>
    <row r="213" spans="1:2" ht="60" x14ac:dyDescent="0.25">
      <c r="A213" s="19">
        <v>210000</v>
      </c>
      <c r="B213" s="20" t="s">
        <v>229</v>
      </c>
    </row>
    <row r="214" spans="1:2" ht="45" x14ac:dyDescent="0.25">
      <c r="A214" s="19">
        <v>210010</v>
      </c>
      <c r="B214" s="20" t="s">
        <v>230</v>
      </c>
    </row>
    <row r="215" spans="1:2" ht="105" x14ac:dyDescent="0.25">
      <c r="A215" s="19">
        <v>210020</v>
      </c>
      <c r="B215" s="20" t="s">
        <v>231</v>
      </c>
    </row>
    <row r="216" spans="1:2" ht="45" x14ac:dyDescent="0.25">
      <c r="A216" s="19">
        <v>210030</v>
      </c>
      <c r="B216" s="20" t="s">
        <v>232</v>
      </c>
    </row>
    <row r="217" spans="1:2" ht="105" x14ac:dyDescent="0.25">
      <c r="A217" s="19">
        <v>210031</v>
      </c>
      <c r="B217" s="20" t="s">
        <v>233</v>
      </c>
    </row>
    <row r="218" spans="1:2" ht="135" x14ac:dyDescent="0.25">
      <c r="A218" s="19">
        <v>210032</v>
      </c>
      <c r="B218" s="20" t="s">
        <v>234</v>
      </c>
    </row>
    <row r="219" spans="1:2" ht="45" x14ac:dyDescent="0.25">
      <c r="A219" s="19">
        <v>210033</v>
      </c>
      <c r="B219" s="20" t="s">
        <v>235</v>
      </c>
    </row>
    <row r="220" spans="1:2" ht="60" x14ac:dyDescent="0.25">
      <c r="A220" s="19">
        <v>210034</v>
      </c>
      <c r="B220" s="20" t="s">
        <v>236</v>
      </c>
    </row>
    <row r="221" spans="1:2" ht="60" x14ac:dyDescent="0.25">
      <c r="A221" s="19">
        <v>210035</v>
      </c>
      <c r="B221" s="20" t="s">
        <v>237</v>
      </c>
    </row>
    <row r="222" spans="1:2" ht="75" x14ac:dyDescent="0.25">
      <c r="A222" s="19">
        <v>210100</v>
      </c>
      <c r="B222" s="20" t="s">
        <v>238</v>
      </c>
    </row>
    <row r="223" spans="1:2" ht="45" x14ac:dyDescent="0.25">
      <c r="A223" s="19">
        <v>210101</v>
      </c>
      <c r="B223" s="20" t="s">
        <v>239</v>
      </c>
    </row>
    <row r="224" spans="1:2" ht="30" x14ac:dyDescent="0.25">
      <c r="A224" s="19">
        <v>210200</v>
      </c>
      <c r="B224" s="20" t="s">
        <v>240</v>
      </c>
    </row>
    <row r="225" spans="1:2" ht="60" x14ac:dyDescent="0.25">
      <c r="A225" s="19">
        <v>210300</v>
      </c>
      <c r="B225" s="20" t="s">
        <v>241</v>
      </c>
    </row>
    <row r="226" spans="1:2" ht="60" x14ac:dyDescent="0.25">
      <c r="A226" s="19">
        <v>220000</v>
      </c>
      <c r="B226" s="20" t="s">
        <v>242</v>
      </c>
    </row>
    <row r="227" spans="1:2" ht="90" x14ac:dyDescent="0.25">
      <c r="A227" s="19">
        <v>220100</v>
      </c>
      <c r="B227" s="20" t="s">
        <v>243</v>
      </c>
    </row>
    <row r="228" spans="1:2" ht="45" x14ac:dyDescent="0.25">
      <c r="A228" s="19">
        <v>220110</v>
      </c>
      <c r="B228" s="20" t="s">
        <v>244</v>
      </c>
    </row>
    <row r="229" spans="1:2" ht="30" x14ac:dyDescent="0.25">
      <c r="A229" s="19">
        <v>220200</v>
      </c>
      <c r="B229" s="20" t="s">
        <v>245</v>
      </c>
    </row>
    <row r="230" spans="1:2" ht="30" x14ac:dyDescent="0.25">
      <c r="A230" s="19">
        <v>220300</v>
      </c>
      <c r="B230" s="20" t="s">
        <v>246</v>
      </c>
    </row>
    <row r="231" spans="1:2" ht="45" x14ac:dyDescent="0.25">
      <c r="A231" s="19">
        <v>220310</v>
      </c>
      <c r="B231" s="20" t="s">
        <v>247</v>
      </c>
    </row>
    <row r="232" spans="1:2" ht="105" x14ac:dyDescent="0.25">
      <c r="A232" s="19">
        <v>220400</v>
      </c>
      <c r="B232" s="20" t="s">
        <v>248</v>
      </c>
    </row>
    <row r="233" spans="1:2" ht="45" x14ac:dyDescent="0.25">
      <c r="A233" s="19">
        <v>220410</v>
      </c>
      <c r="B233" s="20" t="s">
        <v>249</v>
      </c>
    </row>
    <row r="234" spans="1:2" ht="30" x14ac:dyDescent="0.25">
      <c r="A234" s="19">
        <v>220500</v>
      </c>
      <c r="B234" s="20" t="s">
        <v>250</v>
      </c>
    </row>
    <row r="235" spans="1:2" ht="45" x14ac:dyDescent="0.25">
      <c r="A235" s="19">
        <v>220600</v>
      </c>
      <c r="B235" s="20" t="s">
        <v>251</v>
      </c>
    </row>
    <row r="236" spans="1:2" ht="30" x14ac:dyDescent="0.25">
      <c r="A236" s="19">
        <v>230000</v>
      </c>
      <c r="B236" s="20" t="s">
        <v>252</v>
      </c>
    </row>
    <row r="237" spans="1:2" x14ac:dyDescent="0.25">
      <c r="A237" s="19">
        <v>230100</v>
      </c>
      <c r="B237" s="20" t="s">
        <v>253</v>
      </c>
    </row>
    <row r="238" spans="1:2" ht="120" x14ac:dyDescent="0.25">
      <c r="A238" s="19">
        <v>230101</v>
      </c>
      <c r="B238" s="20" t="s">
        <v>254</v>
      </c>
    </row>
    <row r="239" spans="1:2" ht="30" x14ac:dyDescent="0.25">
      <c r="A239" s="19">
        <v>230200</v>
      </c>
      <c r="B239" s="20" t="s">
        <v>255</v>
      </c>
    </row>
    <row r="240" spans="1:2" ht="30" x14ac:dyDescent="0.25">
      <c r="A240" s="19">
        <v>230210</v>
      </c>
      <c r="B240" s="20" t="s">
        <v>256</v>
      </c>
    </row>
    <row r="241" spans="1:2" ht="45" x14ac:dyDescent="0.25">
      <c r="A241" s="19">
        <v>230220</v>
      </c>
      <c r="B241" s="20" t="s">
        <v>257</v>
      </c>
    </row>
    <row r="242" spans="1:2" ht="30" x14ac:dyDescent="0.25">
      <c r="A242" s="19">
        <v>230300</v>
      </c>
      <c r="B242" s="20" t="s">
        <v>258</v>
      </c>
    </row>
    <row r="243" spans="1:2" ht="30" x14ac:dyDescent="0.25">
      <c r="A243" s="19">
        <v>240000</v>
      </c>
      <c r="B243" s="20" t="s">
        <v>259</v>
      </c>
    </row>
    <row r="244" spans="1:2" ht="30" x14ac:dyDescent="0.25">
      <c r="A244" s="19">
        <v>240400</v>
      </c>
      <c r="B244" s="20" t="s">
        <v>260</v>
      </c>
    </row>
    <row r="245" spans="1:2" ht="30" x14ac:dyDescent="0.25">
      <c r="A245" s="19">
        <v>240410</v>
      </c>
      <c r="B245" s="20" t="s">
        <v>261</v>
      </c>
    </row>
    <row r="246" spans="1:2" ht="60" x14ac:dyDescent="0.25">
      <c r="A246" s="19">
        <v>240500</v>
      </c>
      <c r="B246" s="20" t="s">
        <v>262</v>
      </c>
    </row>
    <row r="247" spans="1:2" x14ac:dyDescent="0.25">
      <c r="A247" s="19">
        <v>250000</v>
      </c>
      <c r="B247" s="20" t="s">
        <v>263</v>
      </c>
    </row>
    <row r="248" spans="1:2" ht="45" x14ac:dyDescent="0.25">
      <c r="A248" s="19">
        <v>250010</v>
      </c>
      <c r="B248" s="20" t="s">
        <v>264</v>
      </c>
    </row>
    <row r="249" spans="1:2" ht="45" x14ac:dyDescent="0.25">
      <c r="A249" s="19">
        <v>250020</v>
      </c>
      <c r="B249" s="20" t="s">
        <v>265</v>
      </c>
    </row>
    <row r="250" spans="1:2" ht="45" x14ac:dyDescent="0.25">
      <c r="A250" s="19">
        <v>250100</v>
      </c>
      <c r="B250" s="20" t="s">
        <v>266</v>
      </c>
    </row>
    <row r="251" spans="1:2" ht="45" x14ac:dyDescent="0.25">
      <c r="A251" s="19">
        <v>250110</v>
      </c>
      <c r="B251" s="20" t="s">
        <v>267</v>
      </c>
    </row>
    <row r="252" spans="1:2" ht="30" x14ac:dyDescent="0.25">
      <c r="A252" s="19">
        <v>250120</v>
      </c>
      <c r="B252" s="20" t="s">
        <v>268</v>
      </c>
    </row>
    <row r="253" spans="1:2" ht="75" x14ac:dyDescent="0.25">
      <c r="A253" s="19">
        <v>250200</v>
      </c>
      <c r="B253" s="20" t="s">
        <v>269</v>
      </c>
    </row>
    <row r="254" spans="1:2" ht="60" x14ac:dyDescent="0.25">
      <c r="A254" s="19">
        <v>250210</v>
      </c>
      <c r="B254" s="20" t="s">
        <v>270</v>
      </c>
    </row>
    <row r="255" spans="1:2" ht="120" x14ac:dyDescent="0.25">
      <c r="A255" s="19">
        <v>250300</v>
      </c>
      <c r="B255" s="20" t="s">
        <v>271</v>
      </c>
    </row>
    <row r="256" spans="1:2" ht="45" x14ac:dyDescent="0.25">
      <c r="A256" s="19">
        <v>250310</v>
      </c>
      <c r="B256" s="20" t="s">
        <v>272</v>
      </c>
    </row>
    <row r="257" spans="1:2" ht="30" x14ac:dyDescent="0.25">
      <c r="A257" s="19">
        <v>250320</v>
      </c>
      <c r="B257" s="20" t="s">
        <v>273</v>
      </c>
    </row>
    <row r="258" spans="1:2" ht="60" x14ac:dyDescent="0.25">
      <c r="A258" s="19">
        <v>260000</v>
      </c>
      <c r="B258" s="20" t="s">
        <v>274</v>
      </c>
    </row>
    <row r="259" spans="1:2" ht="60" x14ac:dyDescent="0.25">
      <c r="A259" s="19">
        <v>260001</v>
      </c>
      <c r="B259" s="20" t="s">
        <v>275</v>
      </c>
    </row>
    <row r="260" spans="1:2" ht="75" x14ac:dyDescent="0.25">
      <c r="A260" s="19">
        <v>260010</v>
      </c>
      <c r="B260" s="20" t="s">
        <v>276</v>
      </c>
    </row>
    <row r="261" spans="1:2" ht="60" x14ac:dyDescent="0.25">
      <c r="A261" s="19">
        <v>260020</v>
      </c>
      <c r="B261" s="20" t="s">
        <v>277</v>
      </c>
    </row>
    <row r="262" spans="1:2" ht="30" x14ac:dyDescent="0.25">
      <c r="A262" s="19">
        <v>260100</v>
      </c>
      <c r="B262" s="20" t="s">
        <v>278</v>
      </c>
    </row>
    <row r="263" spans="1:2" ht="105" x14ac:dyDescent="0.25">
      <c r="A263" s="19">
        <v>260200</v>
      </c>
      <c r="B263" s="20" t="s">
        <v>279</v>
      </c>
    </row>
    <row r="264" spans="1:2" ht="60" x14ac:dyDescent="0.25">
      <c r="A264" s="19">
        <v>260300</v>
      </c>
      <c r="B264" s="20" t="s">
        <v>280</v>
      </c>
    </row>
    <row r="265" spans="1:2" ht="30" x14ac:dyDescent="0.25">
      <c r="A265" s="19">
        <v>260310</v>
      </c>
      <c r="B265" s="20" t="s">
        <v>281</v>
      </c>
    </row>
    <row r="266" spans="1:2" ht="60" x14ac:dyDescent="0.25">
      <c r="A266" s="19">
        <v>270000</v>
      </c>
      <c r="B266" s="20" t="s">
        <v>282</v>
      </c>
    </row>
    <row r="267" spans="1:2" ht="105" x14ac:dyDescent="0.25">
      <c r="A267" s="19">
        <v>270100</v>
      </c>
      <c r="B267" s="20" t="s">
        <v>283</v>
      </c>
    </row>
    <row r="268" spans="1:2" ht="75" x14ac:dyDescent="0.25">
      <c r="A268" s="19">
        <v>270200</v>
      </c>
      <c r="B268" s="20" t="s">
        <v>284</v>
      </c>
    </row>
    <row r="269" spans="1:2" ht="30" x14ac:dyDescent="0.25">
      <c r="A269" s="19">
        <v>270300</v>
      </c>
      <c r="B269" s="20" t="s">
        <v>285</v>
      </c>
    </row>
    <row r="270" spans="1:2" ht="105" x14ac:dyDescent="0.25">
      <c r="A270" s="19">
        <v>270400</v>
      </c>
      <c r="B270" s="20" t="s">
        <v>286</v>
      </c>
    </row>
    <row r="271" spans="1:2" x14ac:dyDescent="0.25">
      <c r="A271" s="19">
        <v>280000</v>
      </c>
      <c r="B271" s="20" t="s">
        <v>287</v>
      </c>
    </row>
    <row r="272" spans="1:2" x14ac:dyDescent="0.25">
      <c r="A272" s="19">
        <v>280010</v>
      </c>
      <c r="B272" s="20" t="s">
        <v>288</v>
      </c>
    </row>
    <row r="273" spans="1:2" ht="45" x14ac:dyDescent="0.25">
      <c r="A273" s="19">
        <v>280100</v>
      </c>
      <c r="B273" s="20" t="s">
        <v>289</v>
      </c>
    </row>
    <row r="274" spans="1:2" ht="45" x14ac:dyDescent="0.25">
      <c r="A274" s="19">
        <v>280200</v>
      </c>
      <c r="B274" s="20" t="s">
        <v>290</v>
      </c>
    </row>
    <row r="275" spans="1:2" ht="45" x14ac:dyDescent="0.25">
      <c r="A275" s="19">
        <v>280300</v>
      </c>
      <c r="B275" s="20" t="s">
        <v>291</v>
      </c>
    </row>
    <row r="276" spans="1:2" ht="90" x14ac:dyDescent="0.25">
      <c r="A276" s="19">
        <v>280400</v>
      </c>
      <c r="B276" s="20" t="s">
        <v>292</v>
      </c>
    </row>
    <row r="277" spans="1:2" ht="165" x14ac:dyDescent="0.25">
      <c r="A277" s="19">
        <v>280500</v>
      </c>
      <c r="B277" s="20" t="s">
        <v>293</v>
      </c>
    </row>
    <row r="278" spans="1:2" ht="60" x14ac:dyDescent="0.25">
      <c r="A278" s="19">
        <v>290000</v>
      </c>
      <c r="B278" s="20" t="s">
        <v>294</v>
      </c>
    </row>
    <row r="279" spans="1:2" ht="45" x14ac:dyDescent="0.25">
      <c r="A279" s="19">
        <v>290100</v>
      </c>
      <c r="B279" s="20" t="s">
        <v>295</v>
      </c>
    </row>
    <row r="280" spans="1:2" ht="30" x14ac:dyDescent="0.25">
      <c r="A280" s="19">
        <v>290200</v>
      </c>
      <c r="B280" s="20" t="s">
        <v>296</v>
      </c>
    </row>
    <row r="281" spans="1:2" ht="45" x14ac:dyDescent="0.25">
      <c r="A281" s="19">
        <v>290300</v>
      </c>
      <c r="B281" s="20" t="s">
        <v>297</v>
      </c>
    </row>
    <row r="282" spans="1:2" ht="30" x14ac:dyDescent="0.25">
      <c r="A282" s="19">
        <v>300000</v>
      </c>
      <c r="B282" s="20" t="s">
        <v>298</v>
      </c>
    </row>
    <row r="283" spans="1:2" ht="45" x14ac:dyDescent="0.25">
      <c r="A283" s="21">
        <v>300001</v>
      </c>
      <c r="B283" s="22" t="s">
        <v>299</v>
      </c>
    </row>
    <row r="284" spans="1:2" x14ac:dyDescent="0.25">
      <c r="A284" s="21">
        <v>300010</v>
      </c>
      <c r="B284" s="22" t="s">
        <v>300</v>
      </c>
    </row>
    <row r="285" spans="1:2" ht="45" x14ac:dyDescent="0.25">
      <c r="A285" s="21">
        <v>300020</v>
      </c>
      <c r="B285" s="22" t="s">
        <v>301</v>
      </c>
    </row>
    <row r="286" spans="1:2" ht="45" x14ac:dyDescent="0.25">
      <c r="A286" s="21">
        <v>300100</v>
      </c>
      <c r="B286" s="22" t="s">
        <v>302</v>
      </c>
    </row>
    <row r="287" spans="1:2" ht="30" x14ac:dyDescent="0.25">
      <c r="A287" s="21">
        <v>300200</v>
      </c>
      <c r="B287" s="22" t="s">
        <v>303</v>
      </c>
    </row>
    <row r="288" spans="1:2" ht="45" x14ac:dyDescent="0.25">
      <c r="A288" s="21">
        <v>300210</v>
      </c>
      <c r="B288" s="22" t="s">
        <v>304</v>
      </c>
    </row>
    <row r="289" spans="1:2" ht="45" x14ac:dyDescent="0.25">
      <c r="A289" s="21">
        <v>300220</v>
      </c>
      <c r="B289" s="22" t="s">
        <v>305</v>
      </c>
    </row>
    <row r="290" spans="1:2" ht="75" x14ac:dyDescent="0.25">
      <c r="A290" s="21">
        <v>300230</v>
      </c>
      <c r="B290" s="22" t="s">
        <v>306</v>
      </c>
    </row>
    <row r="291" spans="1:2" ht="30" x14ac:dyDescent="0.25">
      <c r="A291" s="21">
        <v>300300</v>
      </c>
      <c r="B291" s="22" t="s">
        <v>307</v>
      </c>
    </row>
    <row r="292" spans="1:2" ht="105" x14ac:dyDescent="0.25">
      <c r="A292" s="21">
        <v>300400</v>
      </c>
      <c r="B292" s="22" t="s">
        <v>308</v>
      </c>
    </row>
    <row r="293" spans="1:2" ht="30" x14ac:dyDescent="0.25">
      <c r="A293" s="21">
        <v>300500</v>
      </c>
      <c r="B293" s="22" t="s">
        <v>309</v>
      </c>
    </row>
    <row r="294" spans="1:2" ht="60" x14ac:dyDescent="0.25">
      <c r="A294" s="21">
        <v>300600</v>
      </c>
      <c r="B294" s="22" t="s">
        <v>310</v>
      </c>
    </row>
    <row r="295" spans="1:2" ht="30" x14ac:dyDescent="0.25">
      <c r="A295" s="21">
        <v>300700</v>
      </c>
      <c r="B295" s="22" t="s">
        <v>311</v>
      </c>
    </row>
    <row r="296" spans="1:2" ht="30" x14ac:dyDescent="0.25">
      <c r="A296" s="19">
        <v>310000</v>
      </c>
      <c r="B296" s="20" t="s">
        <v>312</v>
      </c>
    </row>
    <row r="297" spans="1:2" ht="45" x14ac:dyDescent="0.25">
      <c r="A297" s="19">
        <v>310100</v>
      </c>
      <c r="B297" s="20" t="s">
        <v>313</v>
      </c>
    </row>
    <row r="298" spans="1:2" ht="30" x14ac:dyDescent="0.25">
      <c r="A298" s="19">
        <v>320000</v>
      </c>
      <c r="B298" s="20" t="s">
        <v>314</v>
      </c>
    </row>
    <row r="299" spans="1:2" ht="30" x14ac:dyDescent="0.25">
      <c r="A299" s="19">
        <v>320100</v>
      </c>
      <c r="B299" s="20" t="s">
        <v>315</v>
      </c>
    </row>
    <row r="300" spans="1:2" ht="45" x14ac:dyDescent="0.25">
      <c r="A300" s="19">
        <v>320200</v>
      </c>
      <c r="B300" s="20" t="s">
        <v>302</v>
      </c>
    </row>
    <row r="301" spans="1:2" ht="30" x14ac:dyDescent="0.25">
      <c r="A301" s="19">
        <v>320300</v>
      </c>
      <c r="B301" s="20" t="s">
        <v>316</v>
      </c>
    </row>
    <row r="302" spans="1:2" ht="30" x14ac:dyDescent="0.25">
      <c r="A302" s="19">
        <v>320400</v>
      </c>
      <c r="B302" s="20" t="s">
        <v>309</v>
      </c>
    </row>
    <row r="303" spans="1:2" ht="30" x14ac:dyDescent="0.25">
      <c r="A303" s="19">
        <v>320500</v>
      </c>
      <c r="B303" s="20" t="s">
        <v>303</v>
      </c>
    </row>
    <row r="304" spans="1:2" ht="30" x14ac:dyDescent="0.25">
      <c r="A304" s="19">
        <v>320600</v>
      </c>
      <c r="B304" s="20" t="s">
        <v>307</v>
      </c>
    </row>
    <row r="305" spans="1:2" ht="60" x14ac:dyDescent="0.25">
      <c r="A305" s="19">
        <v>320700</v>
      </c>
      <c r="B305" s="20" t="s">
        <v>310</v>
      </c>
    </row>
    <row r="306" spans="1:2" ht="105" x14ac:dyDescent="0.25">
      <c r="A306" s="19">
        <v>320800</v>
      </c>
      <c r="B306" s="20" t="s">
        <v>317</v>
      </c>
    </row>
    <row r="307" spans="1:2" ht="75" x14ac:dyDescent="0.25">
      <c r="A307" s="19">
        <v>320510</v>
      </c>
      <c r="B307" s="20" t="s">
        <v>318</v>
      </c>
    </row>
    <row r="308" spans="1:2" ht="45" x14ac:dyDescent="0.25">
      <c r="A308" s="19">
        <v>320520</v>
      </c>
      <c r="B308" s="20" t="s">
        <v>305</v>
      </c>
    </row>
    <row r="309" spans="1:2" ht="45" x14ac:dyDescent="0.25">
      <c r="A309" s="19">
        <v>320530</v>
      </c>
      <c r="B309" s="20" t="s">
        <v>304</v>
      </c>
    </row>
    <row r="310" spans="1:2" ht="30" x14ac:dyDescent="0.25">
      <c r="A310" s="19">
        <v>320900</v>
      </c>
      <c r="B310" s="20" t="s">
        <v>319</v>
      </c>
    </row>
    <row r="311" spans="1:2" ht="30" x14ac:dyDescent="0.25">
      <c r="A311" s="19">
        <v>400000</v>
      </c>
      <c r="B311" s="20" t="s">
        <v>320</v>
      </c>
    </row>
    <row r="312" spans="1:2" ht="60" x14ac:dyDescent="0.25">
      <c r="A312" s="19">
        <v>400100</v>
      </c>
      <c r="B312" s="20" t="s">
        <v>321</v>
      </c>
    </row>
    <row r="313" spans="1:2" ht="30" x14ac:dyDescent="0.25">
      <c r="A313" s="19">
        <v>400200</v>
      </c>
      <c r="B313" s="20" t="s">
        <v>322</v>
      </c>
    </row>
    <row r="314" spans="1:2" ht="30" x14ac:dyDescent="0.25">
      <c r="A314" s="19">
        <v>500000</v>
      </c>
      <c r="B314" s="20" t="s">
        <v>323</v>
      </c>
    </row>
    <row r="315" spans="1:2" x14ac:dyDescent="0.25">
      <c r="A315" s="19">
        <v>500001</v>
      </c>
      <c r="B315" s="20" t="s">
        <v>324</v>
      </c>
    </row>
    <row r="316" spans="1:2" ht="45" x14ac:dyDescent="0.25">
      <c r="A316" s="19">
        <v>500010</v>
      </c>
      <c r="B316" s="20" t="s">
        <v>325</v>
      </c>
    </row>
    <row r="317" spans="1:2" x14ac:dyDescent="0.25">
      <c r="A317" s="19">
        <v>500020</v>
      </c>
      <c r="B317" s="20" t="s">
        <v>326</v>
      </c>
    </row>
    <row r="318" spans="1:2" ht="30" x14ac:dyDescent="0.25">
      <c r="A318" s="19">
        <v>500030</v>
      </c>
      <c r="B318" s="20" t="s">
        <v>327</v>
      </c>
    </row>
    <row r="319" spans="1:2" ht="60" x14ac:dyDescent="0.25">
      <c r="A319" s="19">
        <v>500100</v>
      </c>
      <c r="B319" s="20" t="s">
        <v>328</v>
      </c>
    </row>
    <row r="320" spans="1:2" ht="90" x14ac:dyDescent="0.25">
      <c r="A320" s="19">
        <v>500201</v>
      </c>
      <c r="B320" s="20" t="s">
        <v>329</v>
      </c>
    </row>
    <row r="321" spans="1:2" ht="45" x14ac:dyDescent="0.25">
      <c r="A321" s="19">
        <v>500202</v>
      </c>
      <c r="B321" s="20" t="s">
        <v>330</v>
      </c>
    </row>
    <row r="322" spans="1:2" ht="60" x14ac:dyDescent="0.25">
      <c r="A322" s="19">
        <v>500300</v>
      </c>
      <c r="B322" s="20" t="s">
        <v>331</v>
      </c>
    </row>
    <row r="323" spans="1:2" ht="60" x14ac:dyDescent="0.25">
      <c r="A323" s="19">
        <v>500400</v>
      </c>
      <c r="B323" s="20" t="s">
        <v>332</v>
      </c>
    </row>
    <row r="324" spans="1:2" ht="30" x14ac:dyDescent="0.25">
      <c r="A324" s="19">
        <v>500401</v>
      </c>
      <c r="B324" s="20" t="s">
        <v>333</v>
      </c>
    </row>
    <row r="325" spans="1:2" x14ac:dyDescent="0.25">
      <c r="A325" s="19">
        <v>500402</v>
      </c>
      <c r="B325" s="20" t="s">
        <v>334</v>
      </c>
    </row>
    <row r="326" spans="1:2" x14ac:dyDescent="0.25">
      <c r="A326" s="19">
        <v>500403</v>
      </c>
      <c r="B326" s="20" t="s">
        <v>335</v>
      </c>
    </row>
    <row r="327" spans="1:2" ht="30" x14ac:dyDescent="0.25">
      <c r="A327" s="19">
        <v>500404</v>
      </c>
      <c r="B327" s="20" t="s">
        <v>336</v>
      </c>
    </row>
    <row r="328" spans="1:2" ht="135" x14ac:dyDescent="0.25">
      <c r="A328" s="19">
        <v>500405</v>
      </c>
      <c r="B328" s="20" t="s">
        <v>337</v>
      </c>
    </row>
    <row r="329" spans="1:2" x14ac:dyDescent="0.25">
      <c r="A329" s="19">
        <v>500500</v>
      </c>
      <c r="B329" s="20" t="s">
        <v>338</v>
      </c>
    </row>
    <row r="330" spans="1:2" ht="45" x14ac:dyDescent="0.25">
      <c r="A330" s="19">
        <v>500501</v>
      </c>
      <c r="B330" s="20" t="s">
        <v>339</v>
      </c>
    </row>
    <row r="331" spans="1:2" ht="30" x14ac:dyDescent="0.25">
      <c r="A331" s="19">
        <v>500600</v>
      </c>
      <c r="B331" s="20" t="s">
        <v>340</v>
      </c>
    </row>
    <row r="332" spans="1:2" ht="45" x14ac:dyDescent="0.25">
      <c r="A332" s="19">
        <v>500700</v>
      </c>
      <c r="B332" s="20" t="s">
        <v>341</v>
      </c>
    </row>
    <row r="333" spans="1:2" ht="30" x14ac:dyDescent="0.25">
      <c r="A333" s="19">
        <v>500710</v>
      </c>
      <c r="B333" s="20" t="s">
        <v>342</v>
      </c>
    </row>
    <row r="334" spans="1:2" ht="30" x14ac:dyDescent="0.25">
      <c r="A334" s="19">
        <v>600000</v>
      </c>
      <c r="B334" s="20" t="s">
        <v>343</v>
      </c>
    </row>
    <row r="335" spans="1:2" ht="60" x14ac:dyDescent="0.25">
      <c r="A335" s="19">
        <v>600100</v>
      </c>
      <c r="B335" s="20" t="s">
        <v>344</v>
      </c>
    </row>
    <row r="336" spans="1:2" ht="30" x14ac:dyDescent="0.25">
      <c r="A336" s="19">
        <v>600110</v>
      </c>
      <c r="B336" s="20" t="s">
        <v>345</v>
      </c>
    </row>
    <row r="337" spans="1:2" ht="30" x14ac:dyDescent="0.25">
      <c r="A337" s="19">
        <v>600200</v>
      </c>
      <c r="B337" s="20" t="s">
        <v>346</v>
      </c>
    </row>
    <row r="338" spans="1:2" ht="45" x14ac:dyDescent="0.25">
      <c r="A338" s="19">
        <v>600210</v>
      </c>
      <c r="B338" s="20" t="s">
        <v>347</v>
      </c>
    </row>
    <row r="339" spans="1:2" ht="45" x14ac:dyDescent="0.25">
      <c r="A339" s="19">
        <v>600300</v>
      </c>
      <c r="B339" s="20" t="s">
        <v>348</v>
      </c>
    </row>
    <row r="340" spans="1:2" ht="30" x14ac:dyDescent="0.25">
      <c r="A340" s="19">
        <v>600310</v>
      </c>
      <c r="B340" s="20" t="s">
        <v>349</v>
      </c>
    </row>
    <row r="341" spans="1:2" ht="60" x14ac:dyDescent="0.25">
      <c r="A341" s="19">
        <v>800000</v>
      </c>
      <c r="B341" s="20" t="s">
        <v>350</v>
      </c>
    </row>
    <row r="342" spans="1:2" x14ac:dyDescent="0.25">
      <c r="A342" s="17"/>
      <c r="B342" s="17"/>
    </row>
    <row r="343" spans="1:2" x14ac:dyDescent="0.25">
      <c r="A343" s="17"/>
      <c r="B343" s="17"/>
    </row>
    <row r="344" spans="1:2" x14ac:dyDescent="0.25">
      <c r="A344" s="17"/>
      <c r="B344" s="17"/>
    </row>
    <row r="345" spans="1:2" x14ac:dyDescent="0.25">
      <c r="A345" s="23"/>
      <c r="B345" s="23"/>
    </row>
    <row r="346" spans="1:2" x14ac:dyDescent="0.25">
      <c r="A346" s="23"/>
      <c r="B346" s="23"/>
    </row>
    <row r="347" spans="1:2" x14ac:dyDescent="0.25">
      <c r="A347" s="23"/>
      <c r="B347" s="23"/>
    </row>
    <row r="348" spans="1:2" x14ac:dyDescent="0.25">
      <c r="A348" s="23"/>
      <c r="B348" s="23"/>
    </row>
    <row r="349" spans="1:2" x14ac:dyDescent="0.25">
      <c r="A349" s="23"/>
      <c r="B349" s="23"/>
    </row>
    <row r="350" spans="1:2" x14ac:dyDescent="0.25">
      <c r="A350" s="23"/>
      <c r="B350" s="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opLeftCell="L1" workbookViewId="0">
      <pane ySplit="1" topLeftCell="A2" activePane="bottomLeft" state="frozen"/>
      <selection activeCell="G1" sqref="G1"/>
      <selection pane="bottomLeft" activeCell="Q9" sqref="Q9"/>
    </sheetView>
  </sheetViews>
  <sheetFormatPr defaultRowHeight="15" x14ac:dyDescent="0.25"/>
  <cols>
    <col min="1" max="3" width="26" style="15" customWidth="1"/>
    <col min="4" max="6" width="26" customWidth="1"/>
    <col min="7" max="7" width="26" style="23" customWidth="1"/>
    <col min="8" max="13" width="26" customWidth="1"/>
    <col min="14" max="14" width="29.5703125" customWidth="1"/>
    <col min="15" max="18" width="26" customWidth="1"/>
  </cols>
  <sheetData>
    <row r="1" spans="1:18" ht="25.5" x14ac:dyDescent="0.25">
      <c r="A1" s="14" t="s">
        <v>16</v>
      </c>
      <c r="B1" s="14" t="s">
        <v>17</v>
      </c>
      <c r="C1" s="14" t="s">
        <v>18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3" t="s">
        <v>5</v>
      </c>
      <c r="J1" s="4" t="s">
        <v>6</v>
      </c>
      <c r="K1" s="1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5" t="s">
        <v>14</v>
      </c>
    </row>
    <row r="2" spans="1:18" ht="25.5" x14ac:dyDescent="0.25">
      <c r="A2" s="13" t="s">
        <v>19</v>
      </c>
      <c r="B2" s="13" t="s">
        <v>20</v>
      </c>
      <c r="C2" s="10">
        <v>43259</v>
      </c>
      <c r="D2" s="6">
        <v>100070</v>
      </c>
      <c r="E2" s="6" t="str">
        <f>VLOOKUP(D2,'c.c'!A$1:B$343,2,FALSE)</f>
        <v>POSTO MÉDICO</v>
      </c>
      <c r="F2" s="7">
        <v>11</v>
      </c>
      <c r="G2" s="8" t="str">
        <f>VLOOKUP(F2,'controle saldo'!A$2:N$240,3,FALSE)</f>
        <v>AMOXICILINA, CONCENTRAÇÃO 500MG</v>
      </c>
      <c r="H2" s="7">
        <v>50</v>
      </c>
      <c r="I2" s="9">
        <f>VLOOKUP(F2,'controle saldo'!A$2:N$245,14,FALSE)</f>
        <v>6</v>
      </c>
      <c r="J2" s="10">
        <v>43000</v>
      </c>
      <c r="K2" s="6" t="s">
        <v>593</v>
      </c>
      <c r="L2" s="6">
        <v>50</v>
      </c>
      <c r="M2" s="11">
        <f>I2*L2</f>
        <v>300</v>
      </c>
      <c r="N2" s="152" t="s">
        <v>614</v>
      </c>
      <c r="O2" s="13" t="s">
        <v>615</v>
      </c>
      <c r="P2" s="6"/>
      <c r="Q2" s="6"/>
      <c r="R2" s="6" t="s">
        <v>603</v>
      </c>
    </row>
    <row r="3" spans="1:18" ht="63.75" x14ac:dyDescent="0.25">
      <c r="A3" s="13" t="s">
        <v>19</v>
      </c>
      <c r="B3" s="13" t="s">
        <v>20</v>
      </c>
      <c r="C3" s="10">
        <v>43259</v>
      </c>
      <c r="D3" s="6">
        <v>100070</v>
      </c>
      <c r="E3" s="6" t="str">
        <f>VLOOKUP(D3,'c.c'!A$1:B$343,2,FALSE)</f>
        <v>POSTO MÉDICO</v>
      </c>
      <c r="F3" s="7">
        <v>12</v>
      </c>
      <c r="G3" s="8" t="str">
        <f>VLOOKUP(F3,'controle saldo'!A$2:N$240,3,FALSE)</f>
        <v>AMOXICILINA, PRINCÍPIO ATIVO ASSOCIADA COM CLAVULANATO DE POTÁSSIO, CONCENTRAÇÃO 875MG + 125MG.</v>
      </c>
      <c r="H3" s="7">
        <v>50</v>
      </c>
      <c r="I3" s="9">
        <f>VLOOKUP(F3,'controle saldo'!A$2:N$245,14,FALSE)</f>
        <v>74.8</v>
      </c>
      <c r="J3" s="10">
        <v>43000</v>
      </c>
      <c r="K3" s="6" t="s">
        <v>593</v>
      </c>
      <c r="L3" s="6">
        <v>50</v>
      </c>
      <c r="M3" s="11">
        <f t="shared" ref="M3:M66" si="0">I3*L3</f>
        <v>3740</v>
      </c>
      <c r="N3" s="110" t="s">
        <v>614</v>
      </c>
      <c r="O3" s="13" t="s">
        <v>615</v>
      </c>
      <c r="P3" s="6">
        <v>0</v>
      </c>
      <c r="Q3" s="6" t="s">
        <v>629</v>
      </c>
      <c r="R3" s="6" t="s">
        <v>603</v>
      </c>
    </row>
    <row r="4" spans="1:18" ht="25.5" x14ac:dyDescent="0.25">
      <c r="A4" s="13" t="s">
        <v>19</v>
      </c>
      <c r="B4" s="13" t="s">
        <v>20</v>
      </c>
      <c r="C4" s="10">
        <v>43259</v>
      </c>
      <c r="D4" s="6">
        <v>100070</v>
      </c>
      <c r="E4" s="6" t="str">
        <f>VLOOKUP(D4,'c.c'!A$1:B$343,2,FALSE)</f>
        <v>POSTO MÉDICO</v>
      </c>
      <c r="F4" s="7">
        <v>15</v>
      </c>
      <c r="G4" s="8" t="str">
        <f>VLOOKUP(F4,'controle saldo'!A$2:N$240,3,FALSE)</f>
        <v>AZITROMICINA, DOSAGEM 500 MG</v>
      </c>
      <c r="H4" s="7">
        <v>1000</v>
      </c>
      <c r="I4" s="9">
        <f>VLOOKUP(F4,'controle saldo'!A$2:N$245,14,FALSE)</f>
        <v>0.7</v>
      </c>
      <c r="J4" s="10">
        <v>43000</v>
      </c>
      <c r="K4" s="6" t="s">
        <v>594</v>
      </c>
      <c r="L4" s="6">
        <v>1000</v>
      </c>
      <c r="M4" s="11">
        <f t="shared" si="0"/>
        <v>700</v>
      </c>
      <c r="N4" s="12" t="s">
        <v>616</v>
      </c>
      <c r="O4" s="154" t="s">
        <v>617</v>
      </c>
      <c r="P4" s="6"/>
      <c r="Q4" s="6"/>
      <c r="R4" s="6" t="s">
        <v>603</v>
      </c>
    </row>
    <row r="5" spans="1:18" ht="38.25" x14ac:dyDescent="0.25">
      <c r="A5" s="13" t="s">
        <v>19</v>
      </c>
      <c r="B5" s="13" t="s">
        <v>20</v>
      </c>
      <c r="C5" s="10">
        <v>43259</v>
      </c>
      <c r="D5" s="6">
        <v>100070</v>
      </c>
      <c r="E5" s="6" t="str">
        <f>VLOOKUP(D5,'c.c'!A$1:B$343,2,FALSE)</f>
        <v>POSTO MÉDICO</v>
      </c>
      <c r="F5" s="7">
        <v>20</v>
      </c>
      <c r="G5" s="8" t="str">
        <f>VLOOKUP(F5,'controle saldo'!A$2:N$240,3,FALSE)</f>
        <v>BROMOPRIDA, DOSAGEM 4 MG/ML, APRESENTAÇÃO GOTAS</v>
      </c>
      <c r="H5" s="7">
        <v>15</v>
      </c>
      <c r="I5" s="9">
        <f>VLOOKUP(F5,'controle saldo'!A$2:N$245,14,FALSE)</f>
        <v>1.61</v>
      </c>
      <c r="J5" s="10">
        <v>43000</v>
      </c>
      <c r="K5" s="6" t="s">
        <v>594</v>
      </c>
      <c r="L5" s="6">
        <v>15</v>
      </c>
      <c r="M5" s="11">
        <f t="shared" si="0"/>
        <v>24.150000000000002</v>
      </c>
      <c r="N5" s="12" t="s">
        <v>616</v>
      </c>
      <c r="O5" s="117" t="s">
        <v>617</v>
      </c>
      <c r="P5" s="6"/>
      <c r="Q5" s="6"/>
      <c r="R5" s="6" t="s">
        <v>603</v>
      </c>
    </row>
    <row r="6" spans="1:18" ht="25.5" x14ac:dyDescent="0.25">
      <c r="A6" s="13" t="s">
        <v>19</v>
      </c>
      <c r="B6" s="13" t="s">
        <v>20</v>
      </c>
      <c r="C6" s="10">
        <v>43259</v>
      </c>
      <c r="D6" s="6">
        <v>100070</v>
      </c>
      <c r="E6" s="6" t="str">
        <f>VLOOKUP(D6,'c.c'!A$1:B$343,2,FALSE)</f>
        <v>POSTO MÉDICO</v>
      </c>
      <c r="F6" s="7">
        <v>19</v>
      </c>
      <c r="G6" s="8" t="str">
        <f>VLOOKUP(F6,'controle saldo'!A$2:N$240,3,FALSE)</f>
        <v>BROMOPRIDA, DOSAGEM 10 MG</v>
      </c>
      <c r="H6" s="7">
        <v>50</v>
      </c>
      <c r="I6" s="9">
        <f>VLOOKUP(F6,'controle saldo'!A$2:N$245,14,FALSE)</f>
        <v>1.19</v>
      </c>
      <c r="J6" s="10">
        <v>43000</v>
      </c>
      <c r="K6" s="6" t="s">
        <v>593</v>
      </c>
      <c r="L6" s="6">
        <v>50</v>
      </c>
      <c r="M6" s="11">
        <f t="shared" si="0"/>
        <v>59.5</v>
      </c>
      <c r="N6" s="110" t="s">
        <v>614</v>
      </c>
      <c r="O6" s="13" t="s">
        <v>615</v>
      </c>
      <c r="P6" s="6"/>
      <c r="Q6" s="6"/>
      <c r="R6" s="6" t="s">
        <v>603</v>
      </c>
    </row>
    <row r="7" spans="1:18" ht="38.25" x14ac:dyDescent="0.25">
      <c r="A7" s="13" t="s">
        <v>19</v>
      </c>
      <c r="B7" s="13" t="s">
        <v>20</v>
      </c>
      <c r="C7" s="10">
        <v>43259</v>
      </c>
      <c r="D7" s="6">
        <v>100070</v>
      </c>
      <c r="E7" s="6" t="str">
        <f>VLOOKUP(D7,'c.c'!A$1:B$343,2,FALSE)</f>
        <v>POSTO MÉDICO</v>
      </c>
      <c r="F7" s="7">
        <v>23</v>
      </c>
      <c r="G7" s="8" t="str">
        <f>VLOOKUP(F7,'controle saldo'!A$2:N$240,3,FALSE)</f>
        <v>CIPROFLOXACINO CLORIDRATO, DOSAGEM 500.</v>
      </c>
      <c r="H7" s="7">
        <v>72</v>
      </c>
      <c r="I7" s="9">
        <f>VLOOKUP(F7,'controle saldo'!A$2:N$245,14,FALSE)</f>
        <v>4.2</v>
      </c>
      <c r="J7" s="10">
        <v>43000</v>
      </c>
      <c r="K7" s="6" t="s">
        <v>592</v>
      </c>
      <c r="L7" s="6">
        <v>72</v>
      </c>
      <c r="M7" s="11">
        <f t="shared" si="0"/>
        <v>302.40000000000003</v>
      </c>
      <c r="N7" s="12"/>
      <c r="O7" s="155"/>
      <c r="P7" s="6"/>
      <c r="Q7" s="6"/>
      <c r="R7" s="118" t="s">
        <v>604</v>
      </c>
    </row>
    <row r="8" spans="1:18" x14ac:dyDescent="0.25">
      <c r="A8" s="13" t="s">
        <v>19</v>
      </c>
      <c r="B8" s="13" t="s">
        <v>20</v>
      </c>
      <c r="C8" s="10">
        <v>43259</v>
      </c>
      <c r="D8" s="6">
        <v>100070</v>
      </c>
      <c r="E8" s="6" t="str">
        <f>VLOOKUP(D8,'c.c'!A$1:B$343,2,FALSE)</f>
        <v>POSTO MÉDICO</v>
      </c>
      <c r="F8" s="7">
        <v>24</v>
      </c>
      <c r="G8" s="8" t="str">
        <f>VLOOKUP(F8,'controle saldo'!A$2:N$240,3,FALSE)</f>
        <v>CEFALEXINA, DOSAGEM 500</v>
      </c>
      <c r="H8" s="7">
        <v>25</v>
      </c>
      <c r="I8" s="9">
        <f>VLOOKUP(F8,'controle saldo'!A$2:N$245,14,FALSE)</f>
        <v>44.92</v>
      </c>
      <c r="J8" s="10">
        <v>43000</v>
      </c>
      <c r="K8" s="6" t="s">
        <v>594</v>
      </c>
      <c r="L8" s="6">
        <v>25</v>
      </c>
      <c r="M8" s="11">
        <f t="shared" si="0"/>
        <v>1123</v>
      </c>
      <c r="N8" s="12" t="s">
        <v>616</v>
      </c>
      <c r="O8" s="117" t="s">
        <v>617</v>
      </c>
      <c r="P8" s="6"/>
      <c r="Q8" s="6"/>
      <c r="R8" s="6" t="s">
        <v>603</v>
      </c>
    </row>
    <row r="9" spans="1:18" ht="63.75" x14ac:dyDescent="0.25">
      <c r="A9" s="13" t="s">
        <v>19</v>
      </c>
      <c r="B9" s="13" t="s">
        <v>20</v>
      </c>
      <c r="C9" s="10">
        <v>43259</v>
      </c>
      <c r="D9" s="6">
        <v>100070</v>
      </c>
      <c r="E9" s="6" t="str">
        <f>VLOOKUP(D9,'c.c'!A$1:B$343,2,FALSE)</f>
        <v>POSTO MÉDICO</v>
      </c>
      <c r="F9" s="7">
        <v>25</v>
      </c>
      <c r="G9" s="8" t="str">
        <f>VLOOKUP(F9,'controle saldo'!A$2:N$240,3,FALSE)</f>
        <v>CLORETO DE SÓDIO, PRINCÍPIO ATIVO 0,9%_ SOLUÇÃO INJETÁVEL, APLICAÇÃO SISTEMA FECHADO</v>
      </c>
      <c r="H9" s="7">
        <v>100</v>
      </c>
      <c r="I9" s="9">
        <f>VLOOKUP(F9,'controle saldo'!A$2:N$245,14,FALSE)</f>
        <v>0.81</v>
      </c>
      <c r="J9" s="10">
        <v>43000</v>
      </c>
      <c r="K9" s="6" t="s">
        <v>593</v>
      </c>
      <c r="L9" s="6">
        <v>100</v>
      </c>
      <c r="M9" s="11">
        <f t="shared" si="0"/>
        <v>81</v>
      </c>
      <c r="N9" s="110" t="s">
        <v>614</v>
      </c>
      <c r="O9" s="13" t="s">
        <v>615</v>
      </c>
      <c r="P9" s="6"/>
      <c r="Q9" s="6"/>
      <c r="R9" s="6" t="s">
        <v>603</v>
      </c>
    </row>
    <row r="10" spans="1:18" ht="38.25" x14ac:dyDescent="0.25">
      <c r="A10" s="13" t="s">
        <v>19</v>
      </c>
      <c r="B10" s="13" t="s">
        <v>20</v>
      </c>
      <c r="C10" s="10">
        <v>43259</v>
      </c>
      <c r="D10" s="6">
        <v>100070</v>
      </c>
      <c r="E10" s="6" t="str">
        <f>VLOOKUP(D10,'c.c'!A$1:B$343,2,FALSE)</f>
        <v>POSTO MÉDICO</v>
      </c>
      <c r="F10" s="7">
        <v>26</v>
      </c>
      <c r="G10" s="8" t="str">
        <f>VLOOKUP(F10,'controle saldo'!A$2:N$240,3,FALSE)</f>
        <v>CLORETO DE SÓDIO, DOSAGEM 20%, USO SOLUÇÃO INJETÁVEL</v>
      </c>
      <c r="H10" s="7">
        <v>10</v>
      </c>
      <c r="I10" s="9">
        <f>VLOOKUP(F10,'controle saldo'!A$2:N$245,14,FALSE)</f>
        <v>0.55000000000000004</v>
      </c>
      <c r="J10" s="10">
        <v>43000</v>
      </c>
      <c r="K10" s="6" t="s">
        <v>593</v>
      </c>
      <c r="L10" s="6">
        <v>10</v>
      </c>
      <c r="M10" s="11">
        <f t="shared" si="0"/>
        <v>5.5</v>
      </c>
      <c r="N10" s="110" t="s">
        <v>614</v>
      </c>
      <c r="O10" s="13" t="s">
        <v>615</v>
      </c>
      <c r="P10" s="6"/>
      <c r="Q10" s="6"/>
      <c r="R10" s="6" t="s">
        <v>603</v>
      </c>
    </row>
    <row r="11" spans="1:18" x14ac:dyDescent="0.25">
      <c r="A11" s="13" t="s">
        <v>19</v>
      </c>
      <c r="B11" s="13" t="s">
        <v>20</v>
      </c>
      <c r="C11" s="10">
        <v>43259</v>
      </c>
      <c r="D11" s="6">
        <v>100070</v>
      </c>
      <c r="E11" s="6" t="str">
        <f>VLOOKUP(D11,'c.c'!A$1:B$343,2,FALSE)</f>
        <v>POSTO MÉDICO</v>
      </c>
      <c r="F11" s="7">
        <v>32</v>
      </c>
      <c r="G11" s="8" t="str">
        <f>VLOOKUP(F11,'controle saldo'!A$2:N$240,3,FALSE)</f>
        <v>CLOPIDROGEL, DOSAGEM 75</v>
      </c>
      <c r="H11" s="7">
        <v>2</v>
      </c>
      <c r="I11" s="9">
        <f>VLOOKUP(F11,'controle saldo'!A$2:N$245,14,FALSE)</f>
        <v>18</v>
      </c>
      <c r="J11" s="10">
        <v>43000</v>
      </c>
      <c r="K11" s="6" t="s">
        <v>593</v>
      </c>
      <c r="L11" s="6">
        <v>2</v>
      </c>
      <c r="M11" s="11">
        <f t="shared" si="0"/>
        <v>36</v>
      </c>
      <c r="N11" s="110" t="s">
        <v>614</v>
      </c>
      <c r="O11" s="13" t="s">
        <v>615</v>
      </c>
      <c r="P11" s="6"/>
      <c r="Q11" s="6"/>
      <c r="R11" s="6" t="s">
        <v>603</v>
      </c>
    </row>
    <row r="12" spans="1:18" ht="38.25" x14ac:dyDescent="0.25">
      <c r="A12" s="13" t="s">
        <v>19</v>
      </c>
      <c r="B12" s="13" t="s">
        <v>20</v>
      </c>
      <c r="C12" s="10">
        <v>43259</v>
      </c>
      <c r="D12" s="6">
        <v>100070</v>
      </c>
      <c r="E12" s="6" t="str">
        <f>VLOOKUP(D12,'c.c'!A$1:B$343,2,FALSE)</f>
        <v>POSTO MÉDICO</v>
      </c>
      <c r="F12" s="7">
        <v>39</v>
      </c>
      <c r="G12" s="8" t="str">
        <f>VLOOKUP(F12,'controle saldo'!A$2:N$240,3,FALSE)</f>
        <v>DEXAMETASONA, DOSAGEM 0,1%, APRESENTAÇÃO CREME</v>
      </c>
      <c r="H12" s="7">
        <v>50</v>
      </c>
      <c r="I12" s="9">
        <f>VLOOKUP(F12,'controle saldo'!A$2:N$245,14,FALSE)</f>
        <v>1</v>
      </c>
      <c r="J12" s="10">
        <v>43000</v>
      </c>
      <c r="K12" s="6" t="s">
        <v>592</v>
      </c>
      <c r="L12" s="6">
        <v>50</v>
      </c>
      <c r="M12" s="11">
        <f t="shared" si="0"/>
        <v>50</v>
      </c>
      <c r="N12" s="12"/>
      <c r="O12" s="13"/>
      <c r="P12" s="6"/>
      <c r="Q12" s="6"/>
      <c r="R12" s="114" t="s">
        <v>604</v>
      </c>
    </row>
    <row r="13" spans="1:18" ht="51" x14ac:dyDescent="0.25">
      <c r="A13" s="13" t="s">
        <v>19</v>
      </c>
      <c r="B13" s="13" t="s">
        <v>20</v>
      </c>
      <c r="C13" s="10">
        <v>43259</v>
      </c>
      <c r="D13" s="6">
        <v>100070</v>
      </c>
      <c r="E13" s="6" t="str">
        <f>VLOOKUP(D13,'c.c'!A$1:B$343,2,FALSE)</f>
        <v>POSTO MÉDICO</v>
      </c>
      <c r="F13" s="7">
        <v>49</v>
      </c>
      <c r="G13" s="8" t="str">
        <f>VLOOKUP(F13,'controle saldo'!A$2:N$240,3,FALSE)</f>
        <v>DIPIRONA SÓDICA, DOSAGEM 500 MG/ML, APRESENTAÇÃO SOLUÇÃO ORAL (GOTAS)</v>
      </c>
      <c r="H13" s="7">
        <v>50</v>
      </c>
      <c r="I13" s="9">
        <f>VLOOKUP(F13,'controle saldo'!A$2:N$245,14,FALSE)</f>
        <v>1.42</v>
      </c>
      <c r="J13" s="10">
        <v>43000</v>
      </c>
      <c r="K13" s="6" t="s">
        <v>592</v>
      </c>
      <c r="L13" s="6">
        <v>50</v>
      </c>
      <c r="M13" s="11">
        <f t="shared" si="0"/>
        <v>71</v>
      </c>
      <c r="N13" s="12"/>
      <c r="O13" s="13"/>
      <c r="P13" s="6"/>
      <c r="Q13" s="6"/>
      <c r="R13" s="114" t="s">
        <v>604</v>
      </c>
    </row>
    <row r="14" spans="1:18" ht="38.25" x14ac:dyDescent="0.25">
      <c r="A14" s="13" t="s">
        <v>19</v>
      </c>
      <c r="B14" s="13" t="s">
        <v>20</v>
      </c>
      <c r="C14" s="10">
        <v>43259</v>
      </c>
      <c r="D14" s="6">
        <v>100070</v>
      </c>
      <c r="E14" s="6" t="str">
        <f>VLOOKUP(D14,'c.c'!A$1:B$343,2,FALSE)</f>
        <v>POSTO MÉDICO</v>
      </c>
      <c r="F14" s="7">
        <v>52</v>
      </c>
      <c r="G14" s="8" t="str">
        <f>VLOOKUP(F14,'controle saldo'!A$2:N$240,3,FALSE)</f>
        <v>EPINEFRINA, DOSAGEM 1MG/ML, USO SOLUÇÃO INJETÁVEL</v>
      </c>
      <c r="H14" s="7">
        <v>20</v>
      </c>
      <c r="I14" s="9">
        <f>VLOOKUP(F14,'controle saldo'!A$2:N$245,14,FALSE)</f>
        <v>3.5</v>
      </c>
      <c r="J14" s="10">
        <v>43000</v>
      </c>
      <c r="K14" s="6" t="s">
        <v>595</v>
      </c>
      <c r="L14" s="6">
        <v>20</v>
      </c>
      <c r="M14" s="11">
        <f t="shared" si="0"/>
        <v>70</v>
      </c>
      <c r="N14" s="113">
        <v>43046</v>
      </c>
      <c r="O14" s="156" t="s">
        <v>606</v>
      </c>
      <c r="P14" s="6"/>
      <c r="Q14" s="6"/>
      <c r="R14" s="6" t="s">
        <v>603</v>
      </c>
    </row>
    <row r="15" spans="1:18" ht="38.25" x14ac:dyDescent="0.25">
      <c r="A15" s="13" t="s">
        <v>19</v>
      </c>
      <c r="B15" s="13" t="s">
        <v>20</v>
      </c>
      <c r="C15" s="10">
        <v>43259</v>
      </c>
      <c r="D15" s="6">
        <v>100070</v>
      </c>
      <c r="E15" s="6" t="str">
        <f>VLOOKUP(D15,'c.c'!A$1:B$343,2,FALSE)</f>
        <v>POSTO MÉDICO</v>
      </c>
      <c r="F15" s="7">
        <v>62</v>
      </c>
      <c r="G15" s="8" t="str">
        <f>VLOOKUP(F15,'controle saldo'!A$2:N$240,3,FALSE)</f>
        <v>FUROSEMIDA, COMPOSIÇÃO 10 MG/ML, APRESENTAÇÃO SOLUÇÃO INJETÁVEL</v>
      </c>
      <c r="H15" s="7">
        <v>100</v>
      </c>
      <c r="I15" s="9">
        <f>VLOOKUP(F15,'controle saldo'!A$2:N$245,14,FALSE)</f>
        <v>0.73</v>
      </c>
      <c r="J15" s="10">
        <v>43000</v>
      </c>
      <c r="K15" s="6" t="s">
        <v>594</v>
      </c>
      <c r="L15" s="6">
        <v>100</v>
      </c>
      <c r="M15" s="11">
        <f t="shared" si="0"/>
        <v>73</v>
      </c>
      <c r="N15" s="12" t="s">
        <v>616</v>
      </c>
      <c r="O15" s="117" t="s">
        <v>617</v>
      </c>
      <c r="P15" s="6"/>
      <c r="Q15" s="6"/>
      <c r="R15" s="6" t="s">
        <v>603</v>
      </c>
    </row>
    <row r="16" spans="1:18" ht="51" x14ac:dyDescent="0.25">
      <c r="A16" s="13" t="s">
        <v>19</v>
      </c>
      <c r="B16" s="13" t="s">
        <v>20</v>
      </c>
      <c r="C16" s="10">
        <v>43259</v>
      </c>
      <c r="D16" s="6">
        <v>100070</v>
      </c>
      <c r="E16" s="6" t="str">
        <f>VLOOKUP(D16,'c.c'!A$1:B$343,2,FALSE)</f>
        <v>POSTO MÉDICO</v>
      </c>
      <c r="F16" s="7">
        <v>54</v>
      </c>
      <c r="G16" s="8" t="str">
        <f>VLOOKUP(F16,'controle saldo'!A$2:N$240,3,FALSE)</f>
        <v>ESCOPOLAMINA BUTILBROMETO, DOSAGEM 20 MG/ML, INDICAÇÃO SOLUÇÃO INJETÁVEL</v>
      </c>
      <c r="H16" s="7">
        <v>150</v>
      </c>
      <c r="I16" s="9">
        <f>VLOOKUP(F16,'controle saldo'!A$2:N$245,14,FALSE)</f>
        <v>1.4</v>
      </c>
      <c r="J16" s="10">
        <v>43000</v>
      </c>
      <c r="K16" s="6" t="s">
        <v>595</v>
      </c>
      <c r="L16" s="6">
        <v>150</v>
      </c>
      <c r="M16" s="11">
        <f t="shared" si="0"/>
        <v>210</v>
      </c>
      <c r="N16" s="113">
        <v>43046</v>
      </c>
      <c r="O16" s="117" t="s">
        <v>606</v>
      </c>
      <c r="P16" s="6"/>
      <c r="Q16" s="6"/>
      <c r="R16" s="6" t="s">
        <v>603</v>
      </c>
    </row>
    <row r="17" spans="1:18" ht="38.25" x14ac:dyDescent="0.25">
      <c r="A17" s="13" t="s">
        <v>19</v>
      </c>
      <c r="B17" s="13" t="s">
        <v>20</v>
      </c>
      <c r="C17" s="10">
        <v>43259</v>
      </c>
      <c r="D17" s="6">
        <v>100070</v>
      </c>
      <c r="E17" s="6" t="str">
        <f>VLOOKUP(D17,'c.c'!A$1:B$343,2,FALSE)</f>
        <v>POSTO MÉDICO</v>
      </c>
      <c r="F17" s="7">
        <v>64</v>
      </c>
      <c r="G17" s="8" t="str">
        <f>VLOOKUP(F17,'controle saldo'!A$2:N$240,3,FALSE)</f>
        <v>GLICOSE, CONCENTRAÇÃO 25%, INDICAÇÃO SOLUÇÃO INJETÁVEL</v>
      </c>
      <c r="H17" s="7">
        <v>200</v>
      </c>
      <c r="I17" s="9">
        <f>VLOOKUP(F17,'controle saldo'!A$2:N$245,14,FALSE)</f>
        <v>0.43</v>
      </c>
      <c r="J17" s="10">
        <v>43000</v>
      </c>
      <c r="K17" s="6" t="s">
        <v>595</v>
      </c>
      <c r="L17" s="6">
        <v>200</v>
      </c>
      <c r="M17" s="11">
        <f t="shared" si="0"/>
        <v>86</v>
      </c>
      <c r="N17" s="113">
        <v>43046</v>
      </c>
      <c r="O17" s="117" t="s">
        <v>606</v>
      </c>
      <c r="P17" s="6"/>
      <c r="Q17" s="6"/>
      <c r="R17" s="6" t="s">
        <v>603</v>
      </c>
    </row>
    <row r="18" spans="1:18" ht="76.5" x14ac:dyDescent="0.25">
      <c r="A18" s="13" t="s">
        <v>19</v>
      </c>
      <c r="B18" s="13" t="s">
        <v>20</v>
      </c>
      <c r="C18" s="10">
        <v>43259</v>
      </c>
      <c r="D18" s="6">
        <v>100070</v>
      </c>
      <c r="E18" s="6" t="str">
        <f>VLOOKUP(D18,'c.c'!A$1:B$343,2,FALSE)</f>
        <v>POSTO MÉDICO</v>
      </c>
      <c r="F18" s="7">
        <v>65</v>
      </c>
      <c r="G18" s="8" t="str">
        <f>VLOOKUP(F18,'controle saldo'!A$2:N$240,3,FALSE)</f>
        <v>GLICOSE, CONCENTRAÇÃO 5%, INDICAÇÃO SOLUÇÃO INJETÁVEL, CARACTERÍSTICAS ADICIONAIS SISTEMA FECHADO</v>
      </c>
      <c r="H18" s="7">
        <v>200</v>
      </c>
      <c r="I18" s="9">
        <f>VLOOKUP(F18,'controle saldo'!A$2:N$245,14,FALSE)</f>
        <v>6.5</v>
      </c>
      <c r="J18" s="10">
        <v>43000</v>
      </c>
      <c r="K18" s="6" t="s">
        <v>595</v>
      </c>
      <c r="L18" s="6">
        <v>200</v>
      </c>
      <c r="M18" s="11">
        <f t="shared" si="0"/>
        <v>1300</v>
      </c>
      <c r="N18" s="113">
        <v>43046</v>
      </c>
      <c r="O18" s="117" t="s">
        <v>606</v>
      </c>
      <c r="P18" s="6"/>
      <c r="Q18" s="6"/>
      <c r="R18" s="6" t="s">
        <v>603</v>
      </c>
    </row>
    <row r="19" spans="1:18" ht="38.25" x14ac:dyDescent="0.25">
      <c r="A19" s="13" t="s">
        <v>19</v>
      </c>
      <c r="B19" s="13" t="s">
        <v>20</v>
      </c>
      <c r="C19" s="10">
        <v>43259</v>
      </c>
      <c r="D19" s="6">
        <v>100070</v>
      </c>
      <c r="E19" s="6" t="str">
        <f>VLOOKUP(D19,'c.c'!A$1:B$343,2,FALSE)</f>
        <v>POSTO MÉDICO</v>
      </c>
      <c r="F19" s="7">
        <v>73</v>
      </c>
      <c r="G19" s="8" t="str">
        <f>VLOOKUP(F19,'controle saldo'!A$2:N$240,3,FALSE)</f>
        <v>IPRATRÓPIO BROMETO, DOSAGEM 0,25 MG/ML, USO SOLUÇÃO PARA INALAÇÃO</v>
      </c>
      <c r="H19" s="7">
        <v>10</v>
      </c>
      <c r="I19" s="9">
        <f>VLOOKUP(F19,'controle saldo'!A$2:N$245,14,FALSE)</f>
        <v>1.07</v>
      </c>
      <c r="J19" s="10">
        <v>43000</v>
      </c>
      <c r="K19" s="6" t="s">
        <v>594</v>
      </c>
      <c r="L19" s="6">
        <v>10</v>
      </c>
      <c r="M19" s="11">
        <f t="shared" si="0"/>
        <v>10.700000000000001</v>
      </c>
      <c r="N19" s="12" t="s">
        <v>616</v>
      </c>
      <c r="O19" s="117" t="s">
        <v>617</v>
      </c>
      <c r="P19" s="6"/>
      <c r="Q19" s="6"/>
      <c r="R19" s="6" t="s">
        <v>603</v>
      </c>
    </row>
    <row r="20" spans="1:18" ht="25.5" x14ac:dyDescent="0.25">
      <c r="A20" s="13" t="s">
        <v>19</v>
      </c>
      <c r="B20" s="13" t="s">
        <v>20</v>
      </c>
      <c r="C20" s="10">
        <v>43259</v>
      </c>
      <c r="D20" s="6">
        <v>100070</v>
      </c>
      <c r="E20" s="6" t="str">
        <f>VLOOKUP(D20,'c.c'!A$1:B$343,2,FALSE)</f>
        <v>POSTO MÉDICO</v>
      </c>
      <c r="F20" s="7">
        <v>76</v>
      </c>
      <c r="G20" s="8" t="str">
        <f>VLOOKUP(F20,'controle saldo'!A$2:N$240,3,FALSE)</f>
        <v>LEVOFLOXACINO, DOSAGEM 500.</v>
      </c>
      <c r="H20" s="7">
        <v>100</v>
      </c>
      <c r="I20" s="9">
        <f>VLOOKUP(F20,'controle saldo'!A$2:N$245,14,FALSE)</f>
        <v>20</v>
      </c>
      <c r="J20" s="10">
        <v>43000</v>
      </c>
      <c r="K20" s="6" t="s">
        <v>593</v>
      </c>
      <c r="L20" s="6">
        <v>100</v>
      </c>
      <c r="M20" s="11">
        <f t="shared" si="0"/>
        <v>2000</v>
      </c>
      <c r="N20" s="110" t="s">
        <v>614</v>
      </c>
      <c r="O20" s="13" t="s">
        <v>615</v>
      </c>
      <c r="P20" s="6"/>
      <c r="Q20" s="6"/>
      <c r="R20" s="6" t="s">
        <v>603</v>
      </c>
    </row>
    <row r="21" spans="1:18" ht="38.25" x14ac:dyDescent="0.25">
      <c r="A21" s="13" t="s">
        <v>19</v>
      </c>
      <c r="B21" s="13" t="s">
        <v>20</v>
      </c>
      <c r="C21" s="10">
        <v>43259</v>
      </c>
      <c r="D21" s="6">
        <v>100070</v>
      </c>
      <c r="E21" s="6" t="str">
        <f>VLOOKUP(D21,'c.c'!A$1:B$343,2,FALSE)</f>
        <v>POSTO MÉDICO</v>
      </c>
      <c r="F21" s="7">
        <v>77</v>
      </c>
      <c r="G21" s="8" t="str">
        <f>VLOOKUP(F21,'controle saldo'!A$2:N$240,3,FALSE)</f>
        <v>LIDOCAÍNA CLORIDRATO, DOSAGEM 2%, APRESENTAÇÃO GELÉIA</v>
      </c>
      <c r="H21" s="7">
        <v>10</v>
      </c>
      <c r="I21" s="9">
        <f>VLOOKUP(F21,'controle saldo'!A$2:N$245,14,FALSE)</f>
        <v>2.09</v>
      </c>
      <c r="J21" s="10">
        <v>43000</v>
      </c>
      <c r="K21" s="6" t="s">
        <v>592</v>
      </c>
      <c r="L21" s="6">
        <v>10</v>
      </c>
      <c r="M21" s="11">
        <f t="shared" si="0"/>
        <v>20.9</v>
      </c>
      <c r="N21" s="12"/>
      <c r="O21" s="155"/>
      <c r="P21" s="6"/>
      <c r="Q21" s="6"/>
      <c r="R21" s="114" t="s">
        <v>604</v>
      </c>
    </row>
    <row r="22" spans="1:18" ht="38.25" x14ac:dyDescent="0.25">
      <c r="A22" s="13" t="s">
        <v>19</v>
      </c>
      <c r="B22" s="13" t="s">
        <v>20</v>
      </c>
      <c r="C22" s="10">
        <v>43259</v>
      </c>
      <c r="D22" s="6">
        <v>100070</v>
      </c>
      <c r="E22" s="6" t="str">
        <f>VLOOKUP(D22,'c.c'!A$1:B$343,2,FALSE)</f>
        <v>POSTO MÉDICO</v>
      </c>
      <c r="F22" s="7">
        <v>78</v>
      </c>
      <c r="G22" s="8" t="str">
        <f>VLOOKUP(F22,'controle saldo'!A$2:N$240,3,FALSE)</f>
        <v>LIDOCAÍNA CLORIDRATO, DOSAGEM 2%, APRESENTAÇÃO INJETÁVEL</v>
      </c>
      <c r="H22" s="7">
        <v>100</v>
      </c>
      <c r="I22" s="9">
        <f>VLOOKUP(F22,'controle saldo'!A$2:N$245,14,FALSE)</f>
        <v>1.96</v>
      </c>
      <c r="J22" s="10">
        <v>43000</v>
      </c>
      <c r="K22" s="6" t="s">
        <v>594</v>
      </c>
      <c r="L22" s="6">
        <v>100</v>
      </c>
      <c r="M22" s="11">
        <f t="shared" si="0"/>
        <v>196</v>
      </c>
      <c r="N22" s="12" t="s">
        <v>616</v>
      </c>
      <c r="O22" s="117" t="s">
        <v>617</v>
      </c>
      <c r="P22" s="6"/>
      <c r="Q22" s="6"/>
      <c r="R22" s="6" t="s">
        <v>603</v>
      </c>
    </row>
    <row r="23" spans="1:18" ht="25.5" x14ac:dyDescent="0.25">
      <c r="A23" s="13" t="s">
        <v>19</v>
      </c>
      <c r="B23" s="13" t="s">
        <v>20</v>
      </c>
      <c r="C23" s="10">
        <v>43259</v>
      </c>
      <c r="D23" s="6">
        <v>100070</v>
      </c>
      <c r="E23" s="6" t="str">
        <f>VLOOKUP(D23,'c.c'!A$1:B$343,2,FALSE)</f>
        <v>POSTO MÉDICO</v>
      </c>
      <c r="F23" s="7">
        <v>90</v>
      </c>
      <c r="G23" s="8" t="str">
        <f>VLOOKUP(F23,'controle saldo'!A$2:N$240,3,FALSE)</f>
        <v>NIMESULIDA, DOSAGEM 100 MG</v>
      </c>
      <c r="H23" s="7">
        <v>50</v>
      </c>
      <c r="I23" s="9">
        <f>VLOOKUP(F23,'controle saldo'!A$2:N$245,14,FALSE)</f>
        <v>2.62</v>
      </c>
      <c r="J23" s="10">
        <v>43000</v>
      </c>
      <c r="K23" s="6" t="s">
        <v>594</v>
      </c>
      <c r="L23" s="6">
        <v>50</v>
      </c>
      <c r="M23" s="11">
        <f t="shared" si="0"/>
        <v>131</v>
      </c>
      <c r="N23" s="12" t="s">
        <v>616</v>
      </c>
      <c r="O23" s="117" t="s">
        <v>617</v>
      </c>
      <c r="P23" s="6"/>
      <c r="Q23" s="6"/>
      <c r="R23" s="6" t="s">
        <v>603</v>
      </c>
    </row>
    <row r="24" spans="1:18" ht="25.5" x14ac:dyDescent="0.25">
      <c r="A24" s="13" t="s">
        <v>19</v>
      </c>
      <c r="B24" s="13" t="s">
        <v>20</v>
      </c>
      <c r="C24" s="10">
        <v>43259</v>
      </c>
      <c r="D24" s="6">
        <v>100070</v>
      </c>
      <c r="E24" s="6" t="str">
        <f>VLOOKUP(D24,'c.c'!A$1:B$343,2,FALSE)</f>
        <v>POSTO MÉDICO</v>
      </c>
      <c r="F24" s="7">
        <v>92</v>
      </c>
      <c r="G24" s="8" t="str">
        <f>VLOOKUP(F24,'controle saldo'!A$2:N$240,3,FALSE)</f>
        <v>OMEPRAZOL, CONCENTRAÇÃO 20.</v>
      </c>
      <c r="H24" s="7">
        <v>18</v>
      </c>
      <c r="I24" s="9">
        <f>VLOOKUP(F24,'controle saldo'!A$2:N$245,14,FALSE)</f>
        <v>5.85</v>
      </c>
      <c r="J24" s="10">
        <v>43000</v>
      </c>
      <c r="K24" s="6" t="s">
        <v>594</v>
      </c>
      <c r="L24" s="6">
        <v>18</v>
      </c>
      <c r="M24" s="11">
        <f t="shared" si="0"/>
        <v>105.3</v>
      </c>
      <c r="N24" s="12" t="s">
        <v>616</v>
      </c>
      <c r="O24" s="117" t="s">
        <v>617</v>
      </c>
      <c r="P24" s="6"/>
      <c r="Q24" s="6"/>
      <c r="R24" s="6" t="s">
        <v>603</v>
      </c>
    </row>
    <row r="25" spans="1:18" ht="25.5" x14ac:dyDescent="0.25">
      <c r="A25" s="13" t="s">
        <v>19</v>
      </c>
      <c r="B25" s="13" t="s">
        <v>20</v>
      </c>
      <c r="C25" s="10">
        <v>43259</v>
      </c>
      <c r="D25" s="6">
        <v>100070</v>
      </c>
      <c r="E25" s="6" t="str">
        <f>VLOOKUP(D25,'c.c'!A$1:B$343,2,FALSE)</f>
        <v>POSTO MÉDICO</v>
      </c>
      <c r="F25" s="7">
        <v>94</v>
      </c>
      <c r="G25" s="8" t="str">
        <f>VLOOKUP(F25,'controle saldo'!A$2:N$240,3,FALSE)</f>
        <v>PARACETAMOL, DOSAGEM COMPRIMIDO 750</v>
      </c>
      <c r="H25" s="7">
        <v>75</v>
      </c>
      <c r="I25" s="9">
        <f>VLOOKUP(F25,'controle saldo'!A$2:N$245,14,FALSE)</f>
        <v>3.56</v>
      </c>
      <c r="J25" s="10">
        <v>43000</v>
      </c>
      <c r="K25" s="6" t="s">
        <v>592</v>
      </c>
      <c r="L25" s="6">
        <v>75</v>
      </c>
      <c r="M25" s="11">
        <f t="shared" si="0"/>
        <v>267</v>
      </c>
      <c r="N25" s="153"/>
      <c r="O25" s="13"/>
      <c r="P25" s="6"/>
      <c r="Q25" s="6"/>
      <c r="R25" s="114" t="s">
        <v>604</v>
      </c>
    </row>
    <row r="26" spans="1:18" ht="51" x14ac:dyDescent="0.25">
      <c r="A26" s="13" t="s">
        <v>19</v>
      </c>
      <c r="B26" s="13" t="s">
        <v>20</v>
      </c>
      <c r="C26" s="10">
        <v>43259</v>
      </c>
      <c r="D26" s="6">
        <v>100070</v>
      </c>
      <c r="E26" s="6" t="str">
        <f>VLOOKUP(D26,'c.c'!A$1:B$343,2,FALSE)</f>
        <v>POSTO MÉDICO</v>
      </c>
      <c r="F26" s="7">
        <v>95</v>
      </c>
      <c r="G26" s="8" t="str">
        <f>VLOOKUP(F26,'controle saldo'!A$2:N$240,3,FALSE)</f>
        <v>PARACETAMOL, DOSAGEM SOLUÇÃO ORAL 200 MG/ML, APRESENTAÇÃO SOLUÇÃO ORAL</v>
      </c>
      <c r="H26" s="7">
        <v>10</v>
      </c>
      <c r="I26" s="9">
        <f>VLOOKUP(F26,'controle saldo'!A$2:N$245,14,FALSE)</f>
        <v>3.58</v>
      </c>
      <c r="J26" s="10">
        <v>43000</v>
      </c>
      <c r="K26" s="6" t="s">
        <v>593</v>
      </c>
      <c r="L26" s="6">
        <v>10</v>
      </c>
      <c r="M26" s="11">
        <f t="shared" si="0"/>
        <v>35.799999999999997</v>
      </c>
      <c r="N26" s="110" t="s">
        <v>614</v>
      </c>
      <c r="O26" s="13" t="s">
        <v>615</v>
      </c>
      <c r="P26" s="6"/>
      <c r="Q26" s="6"/>
      <c r="R26" s="6" t="s">
        <v>603</v>
      </c>
    </row>
    <row r="27" spans="1:18" ht="38.25" x14ac:dyDescent="0.25">
      <c r="A27" s="13" t="s">
        <v>19</v>
      </c>
      <c r="B27" s="13" t="s">
        <v>20</v>
      </c>
      <c r="C27" s="10">
        <v>43259</v>
      </c>
      <c r="D27" s="6">
        <v>100070</v>
      </c>
      <c r="E27" s="6" t="str">
        <f>VLOOKUP(D27,'c.c'!A$1:B$343,2,FALSE)</f>
        <v>POSTO MÉDICO</v>
      </c>
      <c r="F27" s="7">
        <v>96</v>
      </c>
      <c r="G27" s="8" t="str">
        <f>VLOOKUP(F27,'controle saldo'!A$2:N$240,3,FALSE)</f>
        <v>PENICILINA BENZATINA PRÉ DILUÍDA, FRASCO 600000UI. AMPOLA 4ML.</v>
      </c>
      <c r="H27" s="7">
        <v>50</v>
      </c>
      <c r="I27" s="9">
        <f>VLOOKUP(F27,'controle saldo'!A$2:N$245,14,FALSE)</f>
        <v>7.5</v>
      </c>
      <c r="J27" s="10">
        <v>43000</v>
      </c>
      <c r="K27" s="6" t="s">
        <v>593</v>
      </c>
      <c r="L27" s="6">
        <v>50</v>
      </c>
      <c r="M27" s="11">
        <f t="shared" si="0"/>
        <v>375</v>
      </c>
      <c r="N27" s="110" t="s">
        <v>614</v>
      </c>
      <c r="O27" s="13" t="s">
        <v>615</v>
      </c>
      <c r="P27" s="6"/>
      <c r="Q27" s="6"/>
      <c r="R27" s="6" t="s">
        <v>603</v>
      </c>
    </row>
    <row r="28" spans="1:18" ht="25.5" x14ac:dyDescent="0.25">
      <c r="A28" s="13" t="s">
        <v>19</v>
      </c>
      <c r="B28" s="13" t="s">
        <v>20</v>
      </c>
      <c r="C28" s="10">
        <v>43259</v>
      </c>
      <c r="D28" s="6">
        <v>100070</v>
      </c>
      <c r="E28" s="6" t="str">
        <f>VLOOKUP(D28,'c.c'!A$1:B$343,2,FALSE)</f>
        <v>POSTO MÉDICO</v>
      </c>
      <c r="F28" s="7">
        <v>102</v>
      </c>
      <c r="G28" s="8" t="str">
        <f>VLOOKUP(F28,'controle saldo'!A$2:N$240,3,FALSE)</f>
        <v>PROPRANOLOL CLORIDRATO, DOSAGEM 40.</v>
      </c>
      <c r="H28" s="7">
        <v>2</v>
      </c>
      <c r="I28" s="9">
        <f>VLOOKUP(F28,'controle saldo'!A$2:N$245,14,FALSE)</f>
        <v>3.67</v>
      </c>
      <c r="J28" s="10">
        <v>43000</v>
      </c>
      <c r="K28" s="6" t="s">
        <v>592</v>
      </c>
      <c r="L28" s="6">
        <v>2</v>
      </c>
      <c r="M28" s="11">
        <f t="shared" si="0"/>
        <v>7.34</v>
      </c>
      <c r="N28" s="12"/>
      <c r="O28" s="155"/>
      <c r="P28" s="6"/>
      <c r="Q28" s="6"/>
      <c r="R28" s="114" t="s">
        <v>604</v>
      </c>
    </row>
    <row r="29" spans="1:18" ht="38.25" x14ac:dyDescent="0.25">
      <c r="A29" s="13" t="s">
        <v>19</v>
      </c>
      <c r="B29" s="13" t="s">
        <v>20</v>
      </c>
      <c r="C29" s="10">
        <v>43259</v>
      </c>
      <c r="D29" s="6">
        <v>100070</v>
      </c>
      <c r="E29" s="6" t="str">
        <f>VLOOKUP(D29,'c.c'!A$1:B$343,2,FALSE)</f>
        <v>POSTO MÉDICO</v>
      </c>
      <c r="F29" s="7">
        <v>103</v>
      </c>
      <c r="G29" s="8" t="str">
        <f>VLOOKUP(F29,'controle saldo'!A$2:N$240,3,FALSE)</f>
        <v>RANITIDINA CLORIDRATO, DOSAGEM 25 MG/ML, TIPO SOLUÇÃO INJETÁVEL</v>
      </c>
      <c r="H29" s="7">
        <v>200</v>
      </c>
      <c r="I29" s="9">
        <f>VLOOKUP(F29,'controle saldo'!A$2:N$245,14,FALSE)</f>
        <v>1.25</v>
      </c>
      <c r="J29" s="10">
        <v>43000</v>
      </c>
      <c r="K29" s="6" t="s">
        <v>594</v>
      </c>
      <c r="L29" s="6">
        <v>200</v>
      </c>
      <c r="M29" s="11">
        <f t="shared" si="0"/>
        <v>250</v>
      </c>
      <c r="N29" s="12" t="s">
        <v>616</v>
      </c>
      <c r="O29" s="117" t="s">
        <v>617</v>
      </c>
      <c r="P29" s="6"/>
      <c r="Q29" s="6"/>
      <c r="R29" s="6" t="s">
        <v>603</v>
      </c>
    </row>
    <row r="30" spans="1:18" ht="165.75" x14ac:dyDescent="0.25">
      <c r="A30" s="13" t="s">
        <v>19</v>
      </c>
      <c r="B30" s="13" t="s">
        <v>20</v>
      </c>
      <c r="C30" s="10">
        <v>43259</v>
      </c>
      <c r="D30" s="6">
        <v>100070</v>
      </c>
      <c r="E30" s="6" t="str">
        <f>VLOOKUP(D30,'c.c'!A$1:B$343,2,FALSE)</f>
        <v>POSTO MÉDICO</v>
      </c>
      <c r="F30" s="7">
        <v>106</v>
      </c>
      <c r="G30" s="8" t="str">
        <f>VLOOKUP(F30,'controle saldo'!A$2:N$240,3,FALSE)</f>
        <v>SAIS PARA REIDRATAÇÃO ORAL, APRESENTAÇÃO PÓ, COMPOSTO POR: CLORETO SÓDIO 3,5G + GLICOSE 20 G, INDICAÇÃO + CITRATO DE SÓDIO 2,9G + CLORETO DE POTÁSSIO 1,5 G,USO PARA 1.000ML DE SOLUÇÃO PRONTA, SEGUNDO PADRÃO OM S, CARACTERÍSTICA ADICIONAL ENVELOPE CONTENDO 27,9G</v>
      </c>
      <c r="H30" s="7">
        <v>500</v>
      </c>
      <c r="I30" s="9">
        <f>VLOOKUP(F30,'controle saldo'!A$2:N$245,14,FALSE)</f>
        <v>0.88</v>
      </c>
      <c r="J30" s="10">
        <v>43000</v>
      </c>
      <c r="K30" s="6" t="s">
        <v>592</v>
      </c>
      <c r="L30" s="6">
        <v>500</v>
      </c>
      <c r="M30" s="11">
        <f t="shared" si="0"/>
        <v>440</v>
      </c>
      <c r="N30" s="12"/>
      <c r="O30" s="13"/>
      <c r="P30" s="6"/>
      <c r="Q30" s="6"/>
      <c r="R30" s="114" t="s">
        <v>604</v>
      </c>
    </row>
    <row r="31" spans="1:18" ht="63.75" x14ac:dyDescent="0.25">
      <c r="A31" s="13" t="s">
        <v>19</v>
      </c>
      <c r="B31" s="13" t="s">
        <v>20</v>
      </c>
      <c r="C31" s="10">
        <v>43259</v>
      </c>
      <c r="D31" s="6">
        <v>100070</v>
      </c>
      <c r="E31" s="6" t="str">
        <f>VLOOKUP(D31,'c.c'!A$1:B$343,2,FALSE)</f>
        <v>POSTO MÉDICO</v>
      </c>
      <c r="F31" s="7">
        <v>110</v>
      </c>
      <c r="G31" s="8" t="str">
        <f>VLOOKUP(F31,'controle saldo'!A$2:N$240,3,FALSE)</f>
        <v>SULFAMETOXAZOL, COMPOSIÇÃO ASSOCIADO À TRIMETROPINA, CONCENTRAÇÃO 400MG 80MG</v>
      </c>
      <c r="H31" s="7">
        <v>50</v>
      </c>
      <c r="I31" s="9">
        <f>VLOOKUP(F31,'controle saldo'!A$2:N$245,14,FALSE)</f>
        <v>14.51</v>
      </c>
      <c r="J31" s="10">
        <v>43000</v>
      </c>
      <c r="K31" s="6" t="s">
        <v>592</v>
      </c>
      <c r="L31" s="6">
        <v>50</v>
      </c>
      <c r="M31" s="11">
        <f t="shared" si="0"/>
        <v>725.5</v>
      </c>
      <c r="N31" s="12"/>
      <c r="O31" s="13"/>
      <c r="P31" s="6"/>
      <c r="Q31" s="6"/>
      <c r="R31" s="114" t="s">
        <v>604</v>
      </c>
    </row>
    <row r="32" spans="1:18" ht="63.75" x14ac:dyDescent="0.25">
      <c r="A32" s="13" t="s">
        <v>19</v>
      </c>
      <c r="B32" s="13" t="s">
        <v>20</v>
      </c>
      <c r="C32" s="10">
        <v>43259</v>
      </c>
      <c r="D32" s="6">
        <v>100070</v>
      </c>
      <c r="E32" s="6" t="str">
        <f>VLOOKUP(D32,'c.c'!A$1:B$343,2,FALSE)</f>
        <v>POSTO MÉDICO</v>
      </c>
      <c r="F32" s="7">
        <v>111</v>
      </c>
      <c r="G32" s="8" t="str">
        <f>VLOOKUP(F32,'controle saldo'!A$2:N$240,3,FALSE)</f>
        <v>SULFAMETOXAZOL, COMPOSIÇÃO ASSOCIADO À TRIMETOPRIMA, CONCENTRAÇÃO 800MG 160MG</v>
      </c>
      <c r="H32" s="7">
        <v>100</v>
      </c>
      <c r="I32" s="9">
        <f>VLOOKUP(F32,'controle saldo'!A$2:N$245,14,FALSE)</f>
        <v>5.08</v>
      </c>
      <c r="J32" s="10">
        <v>43000</v>
      </c>
      <c r="K32" s="6" t="s">
        <v>592</v>
      </c>
      <c r="L32" s="6">
        <v>100</v>
      </c>
      <c r="M32" s="11">
        <f t="shared" si="0"/>
        <v>508</v>
      </c>
      <c r="N32" s="12"/>
      <c r="O32" s="155"/>
      <c r="P32" s="6"/>
      <c r="Q32" s="6"/>
      <c r="R32" s="114" t="s">
        <v>604</v>
      </c>
    </row>
    <row r="33" spans="1:18" ht="51" x14ac:dyDescent="0.25">
      <c r="A33" s="13" t="s">
        <v>19</v>
      </c>
      <c r="B33" s="13" t="s">
        <v>20</v>
      </c>
      <c r="C33" s="10">
        <v>43259</v>
      </c>
      <c r="D33" s="6">
        <v>100070</v>
      </c>
      <c r="E33" s="6" t="str">
        <f>VLOOKUP(D33,'c.c'!A$1:B$343,2,FALSE)</f>
        <v>POSTO MÉDICO</v>
      </c>
      <c r="F33" s="7">
        <v>121</v>
      </c>
      <c r="G33" s="8" t="str">
        <f>VLOOKUP(F33,'controle saldo'!A$2:N$240,3,FALSE)</f>
        <v>SALBUTAMOL, DOSAGEM 100MCG/DOSE, FORMA FARMACÊUTICA AEROSOL ORAL</v>
      </c>
      <c r="H33" s="7">
        <v>5</v>
      </c>
      <c r="I33" s="9">
        <f>VLOOKUP(F33,'controle saldo'!A$2:N$245,14,FALSE)</f>
        <v>12.5</v>
      </c>
      <c r="J33" s="10">
        <v>43000</v>
      </c>
      <c r="K33" s="6" t="s">
        <v>594</v>
      </c>
      <c r="L33" s="6">
        <v>5</v>
      </c>
      <c r="M33" s="11">
        <f t="shared" si="0"/>
        <v>62.5</v>
      </c>
      <c r="N33" s="12" t="s">
        <v>616</v>
      </c>
      <c r="O33" s="117" t="s">
        <v>617</v>
      </c>
      <c r="P33" s="6"/>
      <c r="Q33" s="6"/>
      <c r="R33" s="6" t="s">
        <v>603</v>
      </c>
    </row>
    <row r="34" spans="1:18" ht="89.25" x14ac:dyDescent="0.25">
      <c r="A34" s="13" t="s">
        <v>19</v>
      </c>
      <c r="B34" s="13" t="s">
        <v>20</v>
      </c>
      <c r="C34" s="10">
        <v>43259</v>
      </c>
      <c r="D34" s="6">
        <v>100070</v>
      </c>
      <c r="E34" s="6" t="str">
        <f>VLOOKUP(D34,'c.c'!A$1:B$343,2,FALSE)</f>
        <v>POSTO MÉDICO</v>
      </c>
      <c r="F34" s="7">
        <v>125</v>
      </c>
      <c r="G34" s="8" t="str">
        <f>VLOOKUP(F34,'controle saldo'!A$2:N$240,3,FALSE)</f>
        <v>LUVA PARA PROCEDIMENTO NÃO CIRÚRGICO, MATERIAL LÁTEX NATURAL ÍNTEGRO E UNIFORME, TAMANHO PEQUENO, CARACTERÍSTICAS ADICIONAIS SEM PÓ, TIPO AMBIDESTRA</v>
      </c>
      <c r="H34" s="7">
        <v>60</v>
      </c>
      <c r="I34" s="9">
        <f>VLOOKUP(F34,'controle saldo'!A$2:N$245,14,FALSE)</f>
        <v>21</v>
      </c>
      <c r="J34" s="10">
        <v>43000</v>
      </c>
      <c r="K34" s="6" t="s">
        <v>591</v>
      </c>
      <c r="L34" s="6">
        <v>60</v>
      </c>
      <c r="M34" s="11">
        <f t="shared" si="0"/>
        <v>1260</v>
      </c>
      <c r="N34" s="110">
        <v>43047</v>
      </c>
      <c r="O34" s="111" t="s">
        <v>602</v>
      </c>
      <c r="P34" s="112"/>
      <c r="Q34" s="6"/>
      <c r="R34" s="6" t="s">
        <v>603</v>
      </c>
    </row>
    <row r="35" spans="1:18" ht="63.75" x14ac:dyDescent="0.25">
      <c r="A35" s="13" t="s">
        <v>19</v>
      </c>
      <c r="B35" s="13" t="s">
        <v>20</v>
      </c>
      <c r="C35" s="10">
        <v>43259</v>
      </c>
      <c r="D35" s="6">
        <v>100500</v>
      </c>
      <c r="E35" s="6" t="str">
        <f>VLOOKUP(D35,'c.c'!A$1:B$343,2,FALSE)</f>
        <v>COORDENADORIA DE DESENVOLVIMENTO DA PRODUÇÃO</v>
      </c>
      <c r="F35" s="7">
        <v>29</v>
      </c>
      <c r="G35" s="8" t="str">
        <f>VLOOKUP(F35,'controle saldo'!A$2:N$240,3,FALSE)</f>
        <v>CLORETO DE SÓDIO, PRINCÍPIO ATIVO 0,9%_ SOLUÇÃO INJETÁVEL, APLICAÇÃO SISTEMA FECHADO</v>
      </c>
      <c r="H35" s="7">
        <v>100</v>
      </c>
      <c r="I35" s="9">
        <f>VLOOKUP(F35,'controle saldo'!A$2:N$245,14,FALSE)</f>
        <v>6.56</v>
      </c>
      <c r="J35" s="10">
        <v>43000</v>
      </c>
      <c r="K35" s="6" t="s">
        <v>601</v>
      </c>
      <c r="L35" s="6">
        <v>100</v>
      </c>
      <c r="M35" s="11">
        <f t="shared" si="0"/>
        <v>656</v>
      </c>
      <c r="N35" s="113">
        <v>43046</v>
      </c>
      <c r="O35" s="117" t="s">
        <v>609</v>
      </c>
      <c r="P35" s="6"/>
      <c r="Q35" s="6"/>
      <c r="R35" s="6" t="s">
        <v>603</v>
      </c>
    </row>
    <row r="36" spans="1:18" ht="51" x14ac:dyDescent="0.25">
      <c r="A36" s="13" t="s">
        <v>19</v>
      </c>
      <c r="B36" s="13" t="s">
        <v>20</v>
      </c>
      <c r="C36" s="10">
        <v>43259</v>
      </c>
      <c r="D36" s="6">
        <v>100500</v>
      </c>
      <c r="E36" s="6" t="str">
        <f>VLOOKUP(D36,'c.c'!A$1:B$343,2,FALSE)</f>
        <v>COORDENADORIA DE DESENVOLVIMENTO DA PRODUÇÃO</v>
      </c>
      <c r="F36" s="7">
        <v>61</v>
      </c>
      <c r="G36" s="8" t="str">
        <f>VLOOKUP(F36,'controle saldo'!A$2:N$240,3,FALSE)</f>
        <v>FLUORESCEÍNA, CONCENTRAÇÃO 1%, APLICAÇÃO SOLUÇÃO OFTÁLMICA</v>
      </c>
      <c r="H36" s="7">
        <v>20</v>
      </c>
      <c r="I36" s="9">
        <f>VLOOKUP(F36,'controle saldo'!A$2:N$245,14,FALSE)</f>
        <v>9</v>
      </c>
      <c r="J36" s="10">
        <v>43000</v>
      </c>
      <c r="K36" s="6" t="s">
        <v>596</v>
      </c>
      <c r="L36" s="6">
        <v>20</v>
      </c>
      <c r="M36" s="11">
        <f t="shared" si="0"/>
        <v>180</v>
      </c>
      <c r="N36" s="115" t="s">
        <v>605</v>
      </c>
      <c r="O36" s="116"/>
      <c r="P36" s="6"/>
      <c r="Q36" s="6"/>
      <c r="R36" s="157" t="s">
        <v>624</v>
      </c>
    </row>
    <row r="37" spans="1:18" ht="38.25" x14ac:dyDescent="0.25">
      <c r="A37" s="13" t="s">
        <v>19</v>
      </c>
      <c r="B37" s="13" t="s">
        <v>20</v>
      </c>
      <c r="C37" s="10">
        <v>43259</v>
      </c>
      <c r="D37" s="6">
        <v>100500</v>
      </c>
      <c r="E37" s="6" t="str">
        <f>VLOOKUP(D37,'c.c'!A$1:B$343,2,FALSE)</f>
        <v>COORDENADORIA DE DESENVOLVIMENTO DA PRODUÇÃO</v>
      </c>
      <c r="F37" s="7">
        <v>79</v>
      </c>
      <c r="G37" s="8" t="str">
        <f>VLOOKUP(F37,'controle saldo'!A$2:N$240,3,FALSE)</f>
        <v>LIDOCAÍNA CLORIDRATO, DOSAGEM 2%, APRESENTAÇÃO INJETÁVEL</v>
      </c>
      <c r="H37" s="7">
        <v>60</v>
      </c>
      <c r="I37" s="9">
        <f>VLOOKUP(F37,'controle saldo'!A$2:N$245,14,FALSE)</f>
        <v>3.69</v>
      </c>
      <c r="J37" s="10">
        <v>43000</v>
      </c>
      <c r="K37" s="6" t="s">
        <v>599</v>
      </c>
      <c r="L37" s="6">
        <v>60</v>
      </c>
      <c r="M37" s="11">
        <f t="shared" si="0"/>
        <v>221.4</v>
      </c>
      <c r="N37" s="12" t="s">
        <v>620</v>
      </c>
      <c r="O37" s="13" t="s">
        <v>621</v>
      </c>
      <c r="P37" s="6"/>
      <c r="Q37" s="6"/>
      <c r="R37" s="6" t="s">
        <v>603</v>
      </c>
    </row>
    <row r="38" spans="1:18" ht="38.25" x14ac:dyDescent="0.25">
      <c r="A38" s="13" t="s">
        <v>19</v>
      </c>
      <c r="B38" s="13" t="s">
        <v>20</v>
      </c>
      <c r="C38" s="10">
        <v>43259</v>
      </c>
      <c r="D38" s="6">
        <v>100500</v>
      </c>
      <c r="E38" s="6" t="str">
        <f>VLOOKUP(D38,'c.c'!A$1:B$343,2,FALSE)</f>
        <v>COORDENADORIA DE DESENVOLVIMENTO DA PRODUÇÃO</v>
      </c>
      <c r="F38" s="7">
        <v>108</v>
      </c>
      <c r="G38" s="8" t="str">
        <f>VLOOKUP(F38,'controle saldo'!A$2:N$240,3,FALSE)</f>
        <v>SULFADIAZINA, PRINCÍPIO ATIVO DE PRATA, DOSAGEM 1%, INDICAÇÃO CREME</v>
      </c>
      <c r="H38" s="7">
        <v>40</v>
      </c>
      <c r="I38" s="9">
        <f>VLOOKUP(F38,'controle saldo'!A$2:N$245,14,FALSE)</f>
        <v>5.04</v>
      </c>
      <c r="J38" s="10">
        <v>43000</v>
      </c>
      <c r="K38" s="6" t="s">
        <v>599</v>
      </c>
      <c r="L38" s="6">
        <v>40</v>
      </c>
      <c r="M38" s="11">
        <f t="shared" si="0"/>
        <v>201.6</v>
      </c>
      <c r="N38" s="12" t="s">
        <v>620</v>
      </c>
      <c r="O38" s="13" t="s">
        <v>621</v>
      </c>
      <c r="P38" s="6"/>
      <c r="Q38" s="6"/>
      <c r="R38" s="6" t="s">
        <v>603</v>
      </c>
    </row>
    <row r="39" spans="1:18" ht="38.25" x14ac:dyDescent="0.25">
      <c r="A39" s="13" t="s">
        <v>19</v>
      </c>
      <c r="B39" s="13" t="s">
        <v>20</v>
      </c>
      <c r="C39" s="10">
        <v>43259</v>
      </c>
      <c r="D39" s="6">
        <v>100500</v>
      </c>
      <c r="E39" s="6" t="str">
        <f>VLOOKUP(D39,'c.c'!A$1:B$343,2,FALSE)</f>
        <v>COORDENADORIA DE DESENVOLVIMENTO DA PRODUÇÃO</v>
      </c>
      <c r="F39" s="7">
        <v>114</v>
      </c>
      <c r="G39" s="8" t="str">
        <f>VLOOKUP(F39,'controle saldo'!A$2:N$240,3,FALSE)</f>
        <v>TOBRAMICINA COLÍRIO, 3MG</v>
      </c>
      <c r="H39" s="7">
        <v>30</v>
      </c>
      <c r="I39" s="9">
        <f>VLOOKUP(F39,'controle saldo'!A$2:N$245,14,FALSE)</f>
        <v>8.1300000000000008</v>
      </c>
      <c r="J39" s="10">
        <v>43000</v>
      </c>
      <c r="K39" s="6" t="s">
        <v>599</v>
      </c>
      <c r="L39" s="6">
        <v>30</v>
      </c>
      <c r="M39" s="11">
        <f t="shared" si="0"/>
        <v>243.90000000000003</v>
      </c>
      <c r="N39" s="12" t="s">
        <v>620</v>
      </c>
      <c r="O39" s="13" t="s">
        <v>621</v>
      </c>
      <c r="P39" s="6"/>
      <c r="Q39" s="6"/>
      <c r="R39" s="6" t="s">
        <v>603</v>
      </c>
    </row>
    <row r="40" spans="1:18" ht="38.25" x14ac:dyDescent="0.25">
      <c r="A40" s="13" t="s">
        <v>19</v>
      </c>
      <c r="B40" s="13" t="s">
        <v>20</v>
      </c>
      <c r="C40" s="10">
        <v>43259</v>
      </c>
      <c r="D40" s="6">
        <v>220300</v>
      </c>
      <c r="E40" s="6" t="str">
        <f>VLOOKUP(D40,'c.c'!A$1:B$343,2,FALSE)</f>
        <v>DEPARTAMENTO DE CIÊNCIAS FISIOLÓGICAS</v>
      </c>
      <c r="F40" s="7">
        <v>7</v>
      </c>
      <c r="G40" s="8" t="str">
        <f>VLOOKUP(F40,'controle saldo'!A$2:N$240,3,FALSE)</f>
        <v>ÁGUA DESTILADA, ASPECTO FÍSICO BIDESTILADA, ESTÉRIL, APIROGÊNICA</v>
      </c>
      <c r="H40" s="7">
        <v>50</v>
      </c>
      <c r="I40" s="9">
        <f>VLOOKUP(F40,'controle saldo'!A$2:N$245,14,FALSE)</f>
        <v>0.32</v>
      </c>
      <c r="J40" s="10">
        <v>43000</v>
      </c>
      <c r="K40" s="6" t="s">
        <v>598</v>
      </c>
      <c r="L40" s="6">
        <v>50</v>
      </c>
      <c r="M40" s="11">
        <f t="shared" si="0"/>
        <v>16</v>
      </c>
      <c r="N40" s="12" t="s">
        <v>618</v>
      </c>
      <c r="O40" s="13" t="s">
        <v>619</v>
      </c>
      <c r="P40" s="6"/>
      <c r="Q40" s="6"/>
      <c r="R40" s="6" t="s">
        <v>603</v>
      </c>
    </row>
    <row r="41" spans="1:18" ht="51" x14ac:dyDescent="0.25">
      <c r="A41" s="13" t="s">
        <v>19</v>
      </c>
      <c r="B41" s="13" t="s">
        <v>20</v>
      </c>
      <c r="C41" s="10">
        <v>43259</v>
      </c>
      <c r="D41" s="6">
        <v>220300</v>
      </c>
      <c r="E41" s="6" t="str">
        <f>VLOOKUP(D41,'c.c'!A$1:B$343,2,FALSE)</f>
        <v>DEPARTAMENTO DE CIÊNCIAS FISIOLÓGICAS</v>
      </c>
      <c r="F41" s="7">
        <v>48</v>
      </c>
      <c r="G41" s="8" t="str">
        <f>VLOOKUP(F41,'controle saldo'!A$2:N$240,3,FALSE)</f>
        <v>DIPIRONA SÓDICA, DOSAGEM 500 MG/ML, APRESENTAÇÃO SOLUÇÃO INJETÁVEL</v>
      </c>
      <c r="H41" s="7">
        <v>20</v>
      </c>
      <c r="I41" s="9">
        <f>VLOOKUP(F41,'controle saldo'!A$2:N$245,14,FALSE)</f>
        <v>0.75</v>
      </c>
      <c r="J41" s="10">
        <v>43000</v>
      </c>
      <c r="K41" s="6" t="s">
        <v>601</v>
      </c>
      <c r="L41" s="6">
        <v>20</v>
      </c>
      <c r="M41" s="11">
        <f t="shared" si="0"/>
        <v>15</v>
      </c>
      <c r="N41" s="113">
        <v>43046</v>
      </c>
      <c r="O41" s="111" t="s">
        <v>622</v>
      </c>
      <c r="P41" s="158"/>
      <c r="Q41" s="6"/>
      <c r="R41" s="159" t="s">
        <v>623</v>
      </c>
    </row>
    <row r="42" spans="1:18" ht="38.25" x14ac:dyDescent="0.25">
      <c r="A42" s="13" t="s">
        <v>19</v>
      </c>
      <c r="B42" s="13" t="s">
        <v>20</v>
      </c>
      <c r="C42" s="10">
        <v>43259</v>
      </c>
      <c r="D42" s="6">
        <v>220300</v>
      </c>
      <c r="E42" s="6" t="str">
        <f>VLOOKUP(D42,'c.c'!A$1:B$343,2,FALSE)</f>
        <v>DEPARTAMENTO DE CIÊNCIAS FISIOLÓGICAS</v>
      </c>
      <c r="F42" s="7">
        <v>55</v>
      </c>
      <c r="G42" s="8" t="str">
        <f>VLOOKUP(F42,'controle saldo'!A$2:N$240,3,FALSE)</f>
        <v>ETOMIDATO, DOSAGEM 2 MG/ML, APRESENTAÇÃO SOLUÇÃO INJETÁVEL</v>
      </c>
      <c r="H42" s="7">
        <v>24</v>
      </c>
      <c r="I42" s="9">
        <f>VLOOKUP(F42,'controle saldo'!A$2:N$245,14,FALSE)</f>
        <v>15.75</v>
      </c>
      <c r="J42" s="10">
        <v>43000</v>
      </c>
      <c r="K42" s="6" t="s">
        <v>597</v>
      </c>
      <c r="L42" s="6">
        <v>24</v>
      </c>
      <c r="M42" s="11">
        <f t="shared" si="0"/>
        <v>378</v>
      </c>
      <c r="N42" s="115"/>
      <c r="O42" s="116"/>
      <c r="P42" s="6"/>
      <c r="Q42" s="6"/>
      <c r="R42" s="114" t="s">
        <v>607</v>
      </c>
    </row>
    <row r="43" spans="1:18" ht="25.5" x14ac:dyDescent="0.25">
      <c r="A43" s="13" t="s">
        <v>19</v>
      </c>
      <c r="B43" s="13" t="s">
        <v>20</v>
      </c>
      <c r="C43" s="10">
        <v>43259</v>
      </c>
      <c r="D43" s="6">
        <v>220300</v>
      </c>
      <c r="E43" s="6" t="str">
        <f>VLOOKUP(D43,'c.c'!A$1:B$343,2,FALSE)</f>
        <v>DEPARTAMENTO DE CIÊNCIAS FISIOLÓGICAS</v>
      </c>
      <c r="F43" s="7">
        <v>67</v>
      </c>
      <c r="G43" s="8" t="str">
        <f>VLOOKUP(F43,'controle saldo'!A$2:N$240,3,FALSE)</f>
        <v>HALOPERIDOL, DOSAGEM 5 MG</v>
      </c>
      <c r="H43" s="7">
        <v>48</v>
      </c>
      <c r="I43" s="9">
        <f>VLOOKUP(F43,'controle saldo'!A$2:N$245,14,FALSE)</f>
        <v>2.6</v>
      </c>
      <c r="J43" s="10">
        <v>43000</v>
      </c>
      <c r="K43" s="6" t="s">
        <v>597</v>
      </c>
      <c r="L43" s="6">
        <v>48</v>
      </c>
      <c r="M43" s="11">
        <f t="shared" si="0"/>
        <v>124.80000000000001</v>
      </c>
      <c r="N43" s="12"/>
      <c r="O43" s="13"/>
      <c r="P43" s="6"/>
      <c r="Q43" s="6"/>
      <c r="R43" s="114" t="s">
        <v>607</v>
      </c>
    </row>
    <row r="44" spans="1:18" ht="38.25" x14ac:dyDescent="0.25">
      <c r="A44" s="13" t="s">
        <v>19</v>
      </c>
      <c r="B44" s="13" t="s">
        <v>20</v>
      </c>
      <c r="C44" s="10">
        <v>43259</v>
      </c>
      <c r="D44" s="6">
        <v>220300</v>
      </c>
      <c r="E44" s="6" t="str">
        <f>VLOOKUP(D44,'c.c'!A$1:B$343,2,FALSE)</f>
        <v>DEPARTAMENTO DE CIÊNCIAS FISIOLÓGICAS</v>
      </c>
      <c r="F44" s="7">
        <v>69</v>
      </c>
      <c r="G44" s="8" t="str">
        <f>VLOOKUP(F44,'controle saldo'!A$2:N$240,3,FALSE)</f>
        <v>HEPARINA SÓDICA, DOSAGEM 5.000 UI/0,25 ML, INDICAÇÃO INJETÁVEL</v>
      </c>
      <c r="H44" s="7">
        <v>60</v>
      </c>
      <c r="I44" s="9">
        <f>VLOOKUP(F44,'controle saldo'!A$2:N$245,14,FALSE)</f>
        <v>5</v>
      </c>
      <c r="J44" s="10">
        <v>43000</v>
      </c>
      <c r="K44" s="6" t="s">
        <v>596</v>
      </c>
      <c r="L44" s="6">
        <v>60</v>
      </c>
      <c r="M44" s="11">
        <f t="shared" si="0"/>
        <v>300</v>
      </c>
      <c r="N44" s="12" t="s">
        <v>605</v>
      </c>
      <c r="O44" s="13"/>
      <c r="P44" s="6"/>
      <c r="Q44" s="6"/>
      <c r="R44" s="157" t="s">
        <v>624</v>
      </c>
    </row>
    <row r="45" spans="1:18" ht="51" x14ac:dyDescent="0.25">
      <c r="A45" s="13" t="s">
        <v>19</v>
      </c>
      <c r="B45" s="13" t="s">
        <v>20</v>
      </c>
      <c r="C45" s="10">
        <v>43259</v>
      </c>
      <c r="D45" s="6">
        <v>220300</v>
      </c>
      <c r="E45" s="6" t="str">
        <f>VLOOKUP(D45,'c.c'!A$1:B$343,2,FALSE)</f>
        <v>DEPARTAMENTO DE CIÊNCIAS FISIOLÓGICAS</v>
      </c>
      <c r="F45" s="7">
        <v>89</v>
      </c>
      <c r="G45" s="8" t="str">
        <f>VLOOKUP(F45,'controle saldo'!A$2:N$240,3,FALSE)</f>
        <v>NALOXONA CLORIDRATO, DOSAGEM 0,4 MG/ML, APRESENTAÇÃO SOLUÇÃO INJETÁVEL</v>
      </c>
      <c r="H45" s="7">
        <v>30</v>
      </c>
      <c r="I45" s="9">
        <f>VLOOKUP(F45,'controle saldo'!A$2:N$245,14,FALSE)</f>
        <v>6.1</v>
      </c>
      <c r="J45" s="10">
        <v>43000</v>
      </c>
      <c r="K45" s="6" t="s">
        <v>601</v>
      </c>
      <c r="L45" s="6">
        <v>30</v>
      </c>
      <c r="M45" s="11">
        <f t="shared" si="0"/>
        <v>183</v>
      </c>
      <c r="N45" s="113">
        <v>43046</v>
      </c>
      <c r="O45" s="117" t="s">
        <v>609</v>
      </c>
      <c r="P45" s="6"/>
      <c r="Q45" s="6"/>
      <c r="R45" s="6" t="s">
        <v>603</v>
      </c>
    </row>
    <row r="46" spans="1:18" ht="51" x14ac:dyDescent="0.25">
      <c r="A46" s="13" t="s">
        <v>19</v>
      </c>
      <c r="B46" s="13" t="s">
        <v>20</v>
      </c>
      <c r="C46" s="10">
        <v>43259</v>
      </c>
      <c r="D46" s="6">
        <v>220300</v>
      </c>
      <c r="E46" s="6" t="str">
        <f>VLOOKUP(D46,'c.c'!A$1:B$343,2,FALSE)</f>
        <v>DEPARTAMENTO DE CIÊNCIAS FISIOLÓGICAS</v>
      </c>
      <c r="F46" s="7">
        <v>93</v>
      </c>
      <c r="G46" s="8" t="str">
        <f>VLOOKUP(F46,'controle saldo'!A$2:N$240,3,FALSE)</f>
        <v>ONDANSETRONA CLORIDRATO, DOSAGEM 2 MG/ML, INDICAÇÃO INJETÁVEL</v>
      </c>
      <c r="H46" s="7">
        <v>12</v>
      </c>
      <c r="I46" s="9">
        <f>VLOOKUP(F46,'controle saldo'!A$2:N$245,14,FALSE)</f>
        <v>2.3199999999999998</v>
      </c>
      <c r="J46" s="10">
        <v>43000</v>
      </c>
      <c r="K46" s="6" t="s">
        <v>597</v>
      </c>
      <c r="L46" s="6">
        <v>12</v>
      </c>
      <c r="M46" s="11">
        <f t="shared" si="0"/>
        <v>27.839999999999996</v>
      </c>
      <c r="N46" s="115"/>
      <c r="O46" s="116"/>
      <c r="P46" s="6"/>
      <c r="Q46" s="6"/>
      <c r="R46" s="114" t="s">
        <v>607</v>
      </c>
    </row>
    <row r="47" spans="1:18" ht="51" x14ac:dyDescent="0.25">
      <c r="A47" s="13" t="s">
        <v>19</v>
      </c>
      <c r="B47" s="13" t="s">
        <v>20</v>
      </c>
      <c r="C47" s="10">
        <v>43259</v>
      </c>
      <c r="D47" s="6">
        <v>220300</v>
      </c>
      <c r="E47" s="6" t="str">
        <f>VLOOKUP(D47,'c.c'!A$1:B$343,2,FALSE)</f>
        <v>DEPARTAMENTO DE CIÊNCIAS FISIOLÓGICAS</v>
      </c>
      <c r="F47" s="7">
        <v>58</v>
      </c>
      <c r="G47" s="8" t="str">
        <f>VLOOKUP(F47,'controle saldo'!A$2:N$240,3,FALSE)</f>
        <v>FENTANILA, APRESENTAÇÃO SAL CITRATO, DOSAGEM 0,05 MG/ML, INDICAÇÃO SOLUÇÃO INJETÁVEL</v>
      </c>
      <c r="H47" s="7">
        <v>30</v>
      </c>
      <c r="I47" s="9">
        <f>VLOOKUP(F47,'controle saldo'!A$2:N$245,14,FALSE)</f>
        <v>4</v>
      </c>
      <c r="J47" s="10">
        <v>43000</v>
      </c>
      <c r="K47" s="6" t="s">
        <v>601</v>
      </c>
      <c r="L47" s="6">
        <v>30</v>
      </c>
      <c r="M47" s="11">
        <f t="shared" si="0"/>
        <v>120</v>
      </c>
      <c r="N47" s="113">
        <v>43046</v>
      </c>
      <c r="O47" s="117" t="s">
        <v>609</v>
      </c>
      <c r="P47" s="6"/>
      <c r="Q47" s="6"/>
      <c r="R47" s="6" t="s">
        <v>603</v>
      </c>
    </row>
    <row r="48" spans="1:18" ht="38.25" x14ac:dyDescent="0.25">
      <c r="A48" s="13" t="s">
        <v>19</v>
      </c>
      <c r="B48" s="13" t="s">
        <v>20</v>
      </c>
      <c r="C48" s="10">
        <v>43259</v>
      </c>
      <c r="D48" s="6">
        <v>280010</v>
      </c>
      <c r="E48" s="6" t="str">
        <f>VLOOKUP(D48,'c.c'!A$1:B$343,2,FALSE)</f>
        <v>HOSPITAL VETERINÁRIO</v>
      </c>
      <c r="F48" s="7">
        <v>26</v>
      </c>
      <c r="G48" s="8" t="str">
        <f>VLOOKUP(F48,'controle saldo'!A$2:N$240,3,FALSE)</f>
        <v>CLORETO DE SÓDIO, DOSAGEM 20%, USO SOLUÇÃO INJETÁVEL</v>
      </c>
      <c r="H48" s="7">
        <v>200</v>
      </c>
      <c r="I48" s="9">
        <f>VLOOKUP(F48,'controle saldo'!A$2:N$245,14,FALSE)</f>
        <v>0.55000000000000004</v>
      </c>
      <c r="J48" s="10">
        <v>43000</v>
      </c>
      <c r="K48" s="6" t="s">
        <v>598</v>
      </c>
      <c r="L48" s="6">
        <v>200</v>
      </c>
      <c r="M48" s="11">
        <f t="shared" si="0"/>
        <v>110.00000000000001</v>
      </c>
      <c r="N48" s="12" t="s">
        <v>618</v>
      </c>
      <c r="O48" s="13" t="s">
        <v>619</v>
      </c>
      <c r="P48" s="6"/>
      <c r="Q48" s="6"/>
      <c r="R48" s="6" t="s">
        <v>603</v>
      </c>
    </row>
    <row r="49" spans="1:18" ht="38.25" x14ac:dyDescent="0.25">
      <c r="A49" s="13" t="s">
        <v>19</v>
      </c>
      <c r="B49" s="13" t="s">
        <v>20</v>
      </c>
      <c r="C49" s="10">
        <v>43259</v>
      </c>
      <c r="D49" s="6">
        <v>280010</v>
      </c>
      <c r="E49" s="6" t="str">
        <f>VLOOKUP(D49,'c.c'!A$1:B$343,2,FALSE)</f>
        <v>HOSPITAL VETERINÁRIO</v>
      </c>
      <c r="F49" s="7">
        <v>39</v>
      </c>
      <c r="G49" s="8" t="str">
        <f>VLOOKUP(F49,'controle saldo'!A$2:N$240,3,FALSE)</f>
        <v>DEXAMETASONA, DOSAGEM 0,1%, APRESENTAÇÃO CREME</v>
      </c>
      <c r="H49" s="7">
        <v>40</v>
      </c>
      <c r="I49" s="9">
        <f>VLOOKUP(F49,'controle saldo'!A$2:N$245,14,FALSE)</f>
        <v>1</v>
      </c>
      <c r="J49" s="10">
        <v>43000</v>
      </c>
      <c r="K49" s="6" t="s">
        <v>597</v>
      </c>
      <c r="L49" s="6">
        <v>40</v>
      </c>
      <c r="M49" s="11">
        <f t="shared" si="0"/>
        <v>40</v>
      </c>
      <c r="N49" s="12"/>
      <c r="O49" s="13"/>
      <c r="P49" s="6"/>
      <c r="Q49" s="6"/>
      <c r="R49" s="114" t="s">
        <v>607</v>
      </c>
    </row>
    <row r="50" spans="1:18" ht="25.5" x14ac:dyDescent="0.25">
      <c r="A50" s="13" t="s">
        <v>19</v>
      </c>
      <c r="B50" s="13" t="s">
        <v>20</v>
      </c>
      <c r="C50" s="10">
        <v>43259</v>
      </c>
      <c r="D50" s="6">
        <v>280010</v>
      </c>
      <c r="E50" s="6" t="str">
        <f>VLOOKUP(D50,'c.c'!A$1:B$343,2,FALSE)</f>
        <v>HOSPITAL VETERINÁRIO</v>
      </c>
      <c r="F50" s="7">
        <v>38</v>
      </c>
      <c r="G50" s="8" t="str">
        <f>VLOOKUP(F50,'controle saldo'!A$2:N$240,3,FALSE)</f>
        <v>DEXAMETASONA, DOSAGEM 4 MG</v>
      </c>
      <c r="H50" s="7">
        <v>100</v>
      </c>
      <c r="I50" s="9">
        <f>VLOOKUP(F50,'controle saldo'!A$2:N$245,14,FALSE)</f>
        <v>0.97</v>
      </c>
      <c r="J50" s="10">
        <v>43000</v>
      </c>
      <c r="K50" s="6" t="s">
        <v>599</v>
      </c>
      <c r="L50" s="6">
        <v>100</v>
      </c>
      <c r="M50" s="11">
        <f t="shared" si="0"/>
        <v>97</v>
      </c>
      <c r="N50" s="12" t="s">
        <v>620</v>
      </c>
      <c r="O50" s="13" t="s">
        <v>621</v>
      </c>
      <c r="P50" s="6"/>
      <c r="Q50" s="6"/>
      <c r="R50" s="6" t="s">
        <v>603</v>
      </c>
    </row>
    <row r="51" spans="1:18" ht="51" x14ac:dyDescent="0.25">
      <c r="A51" s="13" t="s">
        <v>19</v>
      </c>
      <c r="B51" s="13" t="s">
        <v>20</v>
      </c>
      <c r="C51" s="10">
        <v>43259</v>
      </c>
      <c r="D51" s="6">
        <v>280010</v>
      </c>
      <c r="E51" s="6" t="str">
        <f>VLOOKUP(D51,'c.c'!A$1:B$343,2,FALSE)</f>
        <v>HOSPITAL VETERINÁRIO</v>
      </c>
      <c r="F51" s="7">
        <v>48</v>
      </c>
      <c r="G51" s="8" t="str">
        <f>VLOOKUP(F51,'controle saldo'!A$2:N$240,3,FALSE)</f>
        <v>DIPIRONA SÓDICA, DOSAGEM 500 MG/ML, APRESENTAÇÃO SOLUÇÃO INJETÁVEL</v>
      </c>
      <c r="H51" s="7">
        <v>500</v>
      </c>
      <c r="I51" s="9">
        <f>VLOOKUP(F51,'controle saldo'!A$2:N$245,14,FALSE)</f>
        <v>0.75</v>
      </c>
      <c r="J51" s="10">
        <v>43000</v>
      </c>
      <c r="K51" s="6" t="s">
        <v>601</v>
      </c>
      <c r="L51" s="6">
        <v>500</v>
      </c>
      <c r="M51" s="11">
        <f t="shared" si="0"/>
        <v>375</v>
      </c>
      <c r="N51" s="113">
        <v>43046</v>
      </c>
      <c r="O51" s="111" t="s">
        <v>622</v>
      </c>
      <c r="P51" s="160"/>
      <c r="Q51" s="6"/>
      <c r="R51" s="159" t="s">
        <v>623</v>
      </c>
    </row>
    <row r="52" spans="1:18" ht="38.25" x14ac:dyDescent="0.25">
      <c r="A52" s="13" t="s">
        <v>19</v>
      </c>
      <c r="B52" s="13" t="s">
        <v>20</v>
      </c>
      <c r="C52" s="10">
        <v>43259</v>
      </c>
      <c r="D52" s="6">
        <v>280010</v>
      </c>
      <c r="E52" s="6" t="str">
        <f>VLOOKUP(D52,'c.c'!A$1:B$343,2,FALSE)</f>
        <v>HOSPITAL VETERINÁRIO</v>
      </c>
      <c r="F52" s="7">
        <v>52</v>
      </c>
      <c r="G52" s="8" t="str">
        <f>VLOOKUP(F52,'controle saldo'!A$2:N$240,3,FALSE)</f>
        <v>EPINEFRINA, DOSAGEM 1MG/ML, USO SOLUÇÃO INJETÁVEL</v>
      </c>
      <c r="H52" s="7">
        <v>100</v>
      </c>
      <c r="I52" s="9">
        <f>VLOOKUP(F52,'controle saldo'!A$2:N$245,14,FALSE)</f>
        <v>3.5</v>
      </c>
      <c r="J52" s="10">
        <v>43000</v>
      </c>
      <c r="K52" s="6" t="s">
        <v>601</v>
      </c>
      <c r="L52" s="6">
        <v>100</v>
      </c>
      <c r="M52" s="11">
        <f t="shared" si="0"/>
        <v>350</v>
      </c>
      <c r="N52" s="113">
        <v>43046</v>
      </c>
      <c r="O52" s="161" t="s">
        <v>609</v>
      </c>
      <c r="P52" s="6"/>
      <c r="Q52" s="6"/>
      <c r="R52" s="6" t="s">
        <v>603</v>
      </c>
    </row>
    <row r="53" spans="1:18" ht="51" x14ac:dyDescent="0.25">
      <c r="A53" s="13" t="s">
        <v>19</v>
      </c>
      <c r="B53" s="13" t="s">
        <v>20</v>
      </c>
      <c r="C53" s="10">
        <v>43259</v>
      </c>
      <c r="D53" s="6">
        <v>280010</v>
      </c>
      <c r="E53" s="6" t="str">
        <f>VLOOKUP(D53,'c.c'!A$1:B$343,2,FALSE)</f>
        <v>HOSPITAL VETERINÁRIO</v>
      </c>
      <c r="F53" s="7">
        <v>54</v>
      </c>
      <c r="G53" s="8" t="str">
        <f>VLOOKUP(F53,'controle saldo'!A$2:N$240,3,FALSE)</f>
        <v>ESCOPOLAMINA BUTILBROMETO, DOSAGEM 20 MG/ML, INDICAÇÃO SOLUÇÃO INJETÁVEL</v>
      </c>
      <c r="H53" s="7">
        <v>100</v>
      </c>
      <c r="I53" s="9">
        <f>VLOOKUP(F53,'controle saldo'!A$2:N$245,14,FALSE)</f>
        <v>1.4</v>
      </c>
      <c r="J53" s="10">
        <v>43000</v>
      </c>
      <c r="K53" s="6" t="s">
        <v>601</v>
      </c>
      <c r="L53" s="6">
        <v>100</v>
      </c>
      <c r="M53" s="11">
        <f t="shared" si="0"/>
        <v>140</v>
      </c>
      <c r="N53" s="113">
        <v>43046</v>
      </c>
      <c r="O53" s="117" t="s">
        <v>609</v>
      </c>
      <c r="P53" s="6"/>
      <c r="Q53" s="6"/>
      <c r="R53" s="6" t="s">
        <v>603</v>
      </c>
    </row>
    <row r="54" spans="1:18" ht="51" x14ac:dyDescent="0.25">
      <c r="A54" s="13" t="s">
        <v>19</v>
      </c>
      <c r="B54" s="13" t="s">
        <v>20</v>
      </c>
      <c r="C54" s="10">
        <v>43259</v>
      </c>
      <c r="D54" s="6">
        <v>280010</v>
      </c>
      <c r="E54" s="6" t="str">
        <f>VLOOKUP(D54,'c.c'!A$1:B$343,2,FALSE)</f>
        <v>HOSPITAL VETERINÁRIO</v>
      </c>
      <c r="F54" s="7">
        <v>61</v>
      </c>
      <c r="G54" s="8" t="str">
        <f>VLOOKUP(F54,'controle saldo'!A$2:N$240,3,FALSE)</f>
        <v>FLUORESCEÍNA, CONCENTRAÇÃO 1%, APLICAÇÃO SOLUÇÃO OFTÁLMICA</v>
      </c>
      <c r="H54" s="7">
        <v>10</v>
      </c>
      <c r="I54" s="9">
        <f>VLOOKUP(F54,'controle saldo'!A$2:N$245,14,FALSE)</f>
        <v>9</v>
      </c>
      <c r="J54" s="10">
        <v>43000</v>
      </c>
      <c r="K54" s="6" t="s">
        <v>596</v>
      </c>
      <c r="L54" s="6">
        <v>10</v>
      </c>
      <c r="M54" s="11">
        <f t="shared" si="0"/>
        <v>90</v>
      </c>
      <c r="N54" s="115" t="s">
        <v>605</v>
      </c>
      <c r="O54" s="116"/>
      <c r="P54" s="6"/>
      <c r="Q54" s="6"/>
      <c r="R54" s="157" t="s">
        <v>624</v>
      </c>
    </row>
    <row r="55" spans="1:18" ht="38.25" x14ac:dyDescent="0.25">
      <c r="A55" s="13" t="s">
        <v>19</v>
      </c>
      <c r="B55" s="13" t="s">
        <v>20</v>
      </c>
      <c r="C55" s="10">
        <v>43259</v>
      </c>
      <c r="D55" s="6">
        <v>280010</v>
      </c>
      <c r="E55" s="6" t="str">
        <f>VLOOKUP(D55,'c.c'!A$1:B$343,2,FALSE)</f>
        <v>HOSPITAL VETERINÁRIO</v>
      </c>
      <c r="F55" s="7">
        <v>62</v>
      </c>
      <c r="G55" s="8" t="str">
        <f>VLOOKUP(F55,'controle saldo'!A$2:N$240,3,FALSE)</f>
        <v>FUROSEMIDA, COMPOSIÇÃO 10 MG/ML, APRESENTAÇÃO SOLUÇÃO INJETÁVEL</v>
      </c>
      <c r="H55" s="7">
        <v>100</v>
      </c>
      <c r="I55" s="9">
        <f>VLOOKUP(F55,'controle saldo'!A$2:N$245,14,FALSE)</f>
        <v>0.73</v>
      </c>
      <c r="J55" s="10">
        <v>43000</v>
      </c>
      <c r="K55" s="6" t="s">
        <v>599</v>
      </c>
      <c r="L55" s="6">
        <v>100</v>
      </c>
      <c r="M55" s="11">
        <f t="shared" si="0"/>
        <v>73</v>
      </c>
      <c r="N55" s="12" t="s">
        <v>620</v>
      </c>
      <c r="O55" s="13" t="s">
        <v>621</v>
      </c>
      <c r="P55" s="6"/>
      <c r="Q55" s="6"/>
      <c r="R55" s="6" t="s">
        <v>603</v>
      </c>
    </row>
    <row r="56" spans="1:18" ht="38.25" x14ac:dyDescent="0.25">
      <c r="A56" s="13" t="s">
        <v>19</v>
      </c>
      <c r="B56" s="13" t="s">
        <v>20</v>
      </c>
      <c r="C56" s="10">
        <v>43259</v>
      </c>
      <c r="D56" s="6">
        <v>280010</v>
      </c>
      <c r="E56" s="6" t="str">
        <f>VLOOKUP(D56,'c.c'!A$1:B$343,2,FALSE)</f>
        <v>HOSPITAL VETERINÁRIO</v>
      </c>
      <c r="F56" s="7">
        <v>64</v>
      </c>
      <c r="G56" s="8" t="str">
        <f>VLOOKUP(F56,'controle saldo'!A$2:N$240,3,FALSE)</f>
        <v>GLICOSE, CONCENTRAÇÃO 25%, INDICAÇÃO SOLUÇÃO INJETÁVEL</v>
      </c>
      <c r="H56" s="7">
        <v>100</v>
      </c>
      <c r="I56" s="9">
        <f>VLOOKUP(F56,'controle saldo'!A$2:N$245,14,FALSE)</f>
        <v>0.43</v>
      </c>
      <c r="J56" s="10">
        <v>43000</v>
      </c>
      <c r="K56" s="6" t="s">
        <v>601</v>
      </c>
      <c r="L56" s="6">
        <v>100</v>
      </c>
      <c r="M56" s="11">
        <f t="shared" si="0"/>
        <v>43</v>
      </c>
      <c r="N56" s="113">
        <v>43046</v>
      </c>
      <c r="O56" s="117" t="s">
        <v>609</v>
      </c>
      <c r="P56" s="6"/>
      <c r="Q56" s="6"/>
      <c r="R56" s="6" t="s">
        <v>603</v>
      </c>
    </row>
    <row r="57" spans="1:18" ht="51" x14ac:dyDescent="0.25">
      <c r="A57" s="13" t="s">
        <v>19</v>
      </c>
      <c r="B57" s="13" t="s">
        <v>20</v>
      </c>
      <c r="C57" s="10">
        <v>43259</v>
      </c>
      <c r="D57" s="6">
        <v>280010</v>
      </c>
      <c r="E57" s="6" t="str">
        <f>VLOOKUP(D57,'c.c'!A$1:B$343,2,FALSE)</f>
        <v>HOSPITAL VETERINÁRIO</v>
      </c>
      <c r="F57" s="7">
        <v>66</v>
      </c>
      <c r="G57" s="8" t="str">
        <f>VLOOKUP(F57,'controle saldo'!A$2:N$240,3,FALSE)</f>
        <v>GLICONATO DE CÁLCIO, DOSAGEM 10%, APRESENTAÇÃO SOLUÇÃO INJETÁVEL</v>
      </c>
      <c r="H57" s="7">
        <v>10</v>
      </c>
      <c r="I57" s="9">
        <f>VLOOKUP(F57,'controle saldo'!A$2:N$245,14,FALSE)</f>
        <v>2.98</v>
      </c>
      <c r="J57" s="10">
        <v>43000</v>
      </c>
      <c r="K57" s="6" t="s">
        <v>598</v>
      </c>
      <c r="L57" s="6">
        <v>10</v>
      </c>
      <c r="M57" s="11">
        <f t="shared" si="0"/>
        <v>29.8</v>
      </c>
      <c r="N57" s="12" t="s">
        <v>618</v>
      </c>
      <c r="O57" s="13" t="s">
        <v>619</v>
      </c>
      <c r="P57" s="6"/>
      <c r="Q57" s="6"/>
      <c r="R57" s="6" t="s">
        <v>603</v>
      </c>
    </row>
    <row r="58" spans="1:18" ht="51" x14ac:dyDescent="0.25">
      <c r="A58" s="13" t="s">
        <v>19</v>
      </c>
      <c r="B58" s="13" t="s">
        <v>20</v>
      </c>
      <c r="C58" s="10">
        <v>43259</v>
      </c>
      <c r="D58" s="6">
        <v>280010</v>
      </c>
      <c r="E58" s="6" t="str">
        <f>VLOOKUP(D58,'c.c'!A$1:B$343,2,FALSE)</f>
        <v>HOSPITAL VETERINÁRIO</v>
      </c>
      <c r="F58" s="7">
        <v>83</v>
      </c>
      <c r="G58" s="8" t="str">
        <f>VLOOKUP(F58,'controle saldo'!A$2:N$240,3,FALSE)</f>
        <v>METOCLOPRAMIDA CLORIDRATO, DOSAGEM 5 MG/ML, APRESENTAÇÃO SOLUÇÃO INJETÁVEL</v>
      </c>
      <c r="H58" s="7">
        <v>100</v>
      </c>
      <c r="I58" s="9">
        <f>VLOOKUP(F58,'controle saldo'!A$2:N$245,14,FALSE)</f>
        <v>0.55000000000000004</v>
      </c>
      <c r="J58" s="10">
        <v>43000</v>
      </c>
      <c r="K58" s="6" t="s">
        <v>599</v>
      </c>
      <c r="L58" s="6">
        <v>100</v>
      </c>
      <c r="M58" s="11">
        <f t="shared" si="0"/>
        <v>55.000000000000007</v>
      </c>
      <c r="N58" s="12" t="s">
        <v>620</v>
      </c>
      <c r="O58" s="13" t="s">
        <v>621</v>
      </c>
      <c r="P58" s="6"/>
      <c r="Q58" s="6"/>
      <c r="R58" s="6" t="s">
        <v>603</v>
      </c>
    </row>
    <row r="59" spans="1:18" ht="51" x14ac:dyDescent="0.25">
      <c r="A59" s="13" t="s">
        <v>19</v>
      </c>
      <c r="B59" s="13" t="s">
        <v>20</v>
      </c>
      <c r="C59" s="10">
        <v>43259</v>
      </c>
      <c r="D59" s="6">
        <v>280010</v>
      </c>
      <c r="E59" s="6" t="str">
        <f>VLOOKUP(D59,'c.c'!A$1:B$343,2,FALSE)</f>
        <v>HOSPITAL VETERINÁRIO</v>
      </c>
      <c r="F59" s="7">
        <v>93</v>
      </c>
      <c r="G59" s="8" t="str">
        <f>VLOOKUP(F59,'controle saldo'!A$2:N$240,3,FALSE)</f>
        <v>ONDANSETRONA CLORIDRATO, DOSAGEM 2 MG/ML, INDICAÇÃO INJETÁVEL</v>
      </c>
      <c r="H59" s="7">
        <v>700</v>
      </c>
      <c r="I59" s="9">
        <f>VLOOKUP(F59,'controle saldo'!A$2:N$245,14,FALSE)</f>
        <v>2.3199999999999998</v>
      </c>
      <c r="J59" s="10">
        <v>43000</v>
      </c>
      <c r="K59" s="6" t="s">
        <v>597</v>
      </c>
      <c r="L59" s="6">
        <v>700</v>
      </c>
      <c r="M59" s="11">
        <f t="shared" si="0"/>
        <v>1624</v>
      </c>
      <c r="N59" s="12"/>
      <c r="O59" s="13"/>
      <c r="P59" s="6"/>
      <c r="Q59" s="6"/>
      <c r="R59" s="114" t="s">
        <v>607</v>
      </c>
    </row>
    <row r="60" spans="1:18" ht="51" x14ac:dyDescent="0.25">
      <c r="A60" s="13" t="s">
        <v>19</v>
      </c>
      <c r="B60" s="13" t="s">
        <v>20</v>
      </c>
      <c r="C60" s="10">
        <v>43259</v>
      </c>
      <c r="D60" s="6">
        <v>280010</v>
      </c>
      <c r="E60" s="6" t="str">
        <f>VLOOKUP(D60,'c.c'!A$1:B$343,2,FALSE)</f>
        <v>HOSPITAL VETERINÁRIO</v>
      </c>
      <c r="F60" s="7">
        <v>100</v>
      </c>
      <c r="G60" s="8" t="str">
        <f>VLOOKUP(F60,'controle saldo'!A$2:N$240,3,FALSE)</f>
        <v>PROMETAZINA CLORIDRATO, DOSAGEM 25 MG/ML, APRESENTAÇÃO SOLUÇÃO INJETÁVEL</v>
      </c>
      <c r="H60" s="7">
        <v>50</v>
      </c>
      <c r="I60" s="9">
        <f>VLOOKUP(F60,'controle saldo'!A$2:N$245,14,FALSE)</f>
        <v>2.2999999999999998</v>
      </c>
      <c r="J60" s="10">
        <v>43000</v>
      </c>
      <c r="K60" s="6" t="s">
        <v>598</v>
      </c>
      <c r="L60" s="6">
        <v>50</v>
      </c>
      <c r="M60" s="11">
        <f t="shared" si="0"/>
        <v>114.99999999999999</v>
      </c>
      <c r="N60" s="12" t="s">
        <v>618</v>
      </c>
      <c r="O60" s="13" t="s">
        <v>619</v>
      </c>
      <c r="P60" s="6"/>
      <c r="Q60" s="6"/>
      <c r="R60" s="6" t="s">
        <v>603</v>
      </c>
    </row>
    <row r="61" spans="1:18" ht="38.25" x14ac:dyDescent="0.25">
      <c r="A61" s="13" t="s">
        <v>19</v>
      </c>
      <c r="B61" s="13" t="s">
        <v>20</v>
      </c>
      <c r="C61" s="10">
        <v>43259</v>
      </c>
      <c r="D61" s="6">
        <v>280010</v>
      </c>
      <c r="E61" s="6" t="str">
        <f>VLOOKUP(D61,'c.c'!A$1:B$343,2,FALSE)</f>
        <v>HOSPITAL VETERINÁRIO</v>
      </c>
      <c r="F61" s="7">
        <v>108</v>
      </c>
      <c r="G61" s="8" t="str">
        <f>VLOOKUP(F61,'controle saldo'!A$2:N$240,3,FALSE)</f>
        <v>SULFADIAZINA, PRINCÍPIO ATIVO DE PRATA, DOSAGEM 1%, INDICAÇÃO CREME</v>
      </c>
      <c r="H61" s="7">
        <v>30</v>
      </c>
      <c r="I61" s="9">
        <f>VLOOKUP(F61,'controle saldo'!A$2:N$245,14,FALSE)</f>
        <v>5.04</v>
      </c>
      <c r="J61" s="10">
        <v>43000</v>
      </c>
      <c r="K61" s="6" t="s">
        <v>599</v>
      </c>
      <c r="L61" s="6">
        <v>30</v>
      </c>
      <c r="M61" s="11">
        <f t="shared" si="0"/>
        <v>151.19999999999999</v>
      </c>
      <c r="N61" s="12" t="s">
        <v>620</v>
      </c>
      <c r="O61" s="13" t="s">
        <v>621</v>
      </c>
      <c r="P61" s="6"/>
      <c r="Q61" s="6"/>
      <c r="R61" s="6" t="s">
        <v>603</v>
      </c>
    </row>
    <row r="62" spans="1:18" ht="38.25" x14ac:dyDescent="0.25">
      <c r="A62" s="13" t="s">
        <v>19</v>
      </c>
      <c r="B62" s="13" t="s">
        <v>20</v>
      </c>
      <c r="C62" s="10">
        <v>43259</v>
      </c>
      <c r="D62" s="6">
        <v>280010</v>
      </c>
      <c r="E62" s="6" t="str">
        <f>VLOOKUP(D62,'c.c'!A$1:B$343,2,FALSE)</f>
        <v>HOSPITAL VETERINÁRIO</v>
      </c>
      <c r="F62" s="7">
        <v>79</v>
      </c>
      <c r="G62" s="8" t="str">
        <f>VLOOKUP(F62,'controle saldo'!A$2:N$240,3,FALSE)</f>
        <v>LIDOCAÍNA CLORIDRATO, DOSAGEM 2%, APRESENTAÇÃO INJETÁVEL</v>
      </c>
      <c r="H62" s="7">
        <v>120</v>
      </c>
      <c r="I62" s="9">
        <f>VLOOKUP(F62,'controle saldo'!A$2:N$245,14,FALSE)</f>
        <v>3.69</v>
      </c>
      <c r="J62" s="10">
        <v>43000</v>
      </c>
      <c r="K62" s="6" t="s">
        <v>599</v>
      </c>
      <c r="L62" s="6">
        <v>120</v>
      </c>
      <c r="M62" s="11">
        <f t="shared" si="0"/>
        <v>442.8</v>
      </c>
      <c r="N62" s="12" t="s">
        <v>620</v>
      </c>
      <c r="O62" s="13" t="s">
        <v>621</v>
      </c>
      <c r="P62" s="6"/>
      <c r="Q62" s="6"/>
      <c r="R62" s="6" t="s">
        <v>603</v>
      </c>
    </row>
    <row r="63" spans="1:18" ht="38.25" x14ac:dyDescent="0.25">
      <c r="A63" s="13" t="s">
        <v>19</v>
      </c>
      <c r="B63" s="13" t="s">
        <v>20</v>
      </c>
      <c r="C63" s="10">
        <v>43259</v>
      </c>
      <c r="D63" s="6">
        <v>280010</v>
      </c>
      <c r="E63" s="6" t="str">
        <f>VLOOKUP(D63,'c.c'!A$1:B$343,2,FALSE)</f>
        <v>HOSPITAL VETERINÁRIO</v>
      </c>
      <c r="F63" s="7">
        <v>41</v>
      </c>
      <c r="G63" s="8" t="str">
        <f>VLOOKUP(F63,'controle saldo'!A$2:N$240,3,FALSE)</f>
        <v>DIAZEPAM, DOSAGEM 5 MG/ML, APRESENTAÇÃO SOLUÇÃO INJETÁVEL</v>
      </c>
      <c r="H63" s="7">
        <v>50</v>
      </c>
      <c r="I63" s="9">
        <f>VLOOKUP(F63,'controle saldo'!A$2:N$245,14,FALSE)</f>
        <v>1.1399999999999999</v>
      </c>
      <c r="J63" s="10">
        <v>43000</v>
      </c>
      <c r="K63" s="6" t="s">
        <v>599</v>
      </c>
      <c r="L63" s="6">
        <v>50</v>
      </c>
      <c r="M63" s="11">
        <f t="shared" si="0"/>
        <v>56.999999999999993</v>
      </c>
      <c r="N63" s="12" t="s">
        <v>620</v>
      </c>
      <c r="O63" s="13" t="s">
        <v>621</v>
      </c>
      <c r="P63" s="6"/>
      <c r="Q63" s="6"/>
      <c r="R63" s="6" t="s">
        <v>603</v>
      </c>
    </row>
    <row r="64" spans="1:18" ht="51" x14ac:dyDescent="0.25">
      <c r="A64" s="13" t="s">
        <v>19</v>
      </c>
      <c r="B64" s="13" t="s">
        <v>20</v>
      </c>
      <c r="C64" s="10">
        <v>43259</v>
      </c>
      <c r="D64" s="6">
        <v>280010</v>
      </c>
      <c r="E64" s="6" t="str">
        <f>VLOOKUP(D64,'c.c'!A$1:B$343,2,FALSE)</f>
        <v>HOSPITAL VETERINÁRIO</v>
      </c>
      <c r="F64" s="7">
        <v>58</v>
      </c>
      <c r="G64" s="8" t="str">
        <f>VLOOKUP(F64,'controle saldo'!A$2:N$240,3,FALSE)</f>
        <v>FENTANILA, APRESENTAÇÃO SAL CITRATO, DOSAGEM 0,05 MG/ML, INDICAÇÃO SOLUÇÃO INJETÁVEL</v>
      </c>
      <c r="H64" s="7">
        <v>50</v>
      </c>
      <c r="I64" s="9">
        <f>VLOOKUP(F64,'controle saldo'!A$2:N$245,14,FALSE)</f>
        <v>4</v>
      </c>
      <c r="J64" s="10">
        <v>43000</v>
      </c>
      <c r="K64" s="6" t="s">
        <v>601</v>
      </c>
      <c r="L64" s="6">
        <v>50</v>
      </c>
      <c r="M64" s="11">
        <f t="shared" si="0"/>
        <v>200</v>
      </c>
      <c r="N64" s="113">
        <v>43046</v>
      </c>
      <c r="O64" s="117" t="s">
        <v>609</v>
      </c>
      <c r="P64" s="6"/>
      <c r="Q64" s="6"/>
      <c r="R64" s="6" t="s">
        <v>603</v>
      </c>
    </row>
    <row r="65" spans="1:18" ht="38.25" x14ac:dyDescent="0.25">
      <c r="A65" s="13" t="s">
        <v>19</v>
      </c>
      <c r="B65" s="13" t="s">
        <v>20</v>
      </c>
      <c r="C65" s="10">
        <v>43259</v>
      </c>
      <c r="D65" s="6">
        <v>280010</v>
      </c>
      <c r="E65" s="6" t="str">
        <f>VLOOKUP(D65,'c.c'!A$1:B$343,2,FALSE)</f>
        <v>HOSPITAL VETERINÁRIO</v>
      </c>
      <c r="F65" s="7">
        <v>74</v>
      </c>
      <c r="G65" s="8" t="str">
        <f>VLOOKUP(F65,'controle saldo'!A$2:N$240,3,FALSE)</f>
        <v>ISOFLURANO, APRESENTAÇÃO ANESTÉSICO INALATÓRIO.</v>
      </c>
      <c r="H65" s="7">
        <v>50</v>
      </c>
      <c r="I65" s="9">
        <f>VLOOKUP(F65,'controle saldo'!A$2:N$245,14,FALSE)</f>
        <v>46.44</v>
      </c>
      <c r="J65" s="10">
        <v>43000</v>
      </c>
      <c r="K65" s="6" t="s">
        <v>600</v>
      </c>
      <c r="L65" s="6">
        <v>50</v>
      </c>
      <c r="M65" s="11">
        <f t="shared" si="0"/>
        <v>2322</v>
      </c>
      <c r="N65" s="110">
        <v>43061</v>
      </c>
      <c r="O65" s="117" t="s">
        <v>608</v>
      </c>
      <c r="P65" s="6"/>
      <c r="Q65" s="6"/>
      <c r="R65" s="6" t="s">
        <v>603</v>
      </c>
    </row>
    <row r="66" spans="1:18" ht="38.25" x14ac:dyDescent="0.25">
      <c r="A66" s="13" t="s">
        <v>19</v>
      </c>
      <c r="B66" s="13" t="s">
        <v>20</v>
      </c>
      <c r="C66" s="10">
        <v>43259</v>
      </c>
      <c r="D66" s="6">
        <v>280010</v>
      </c>
      <c r="E66" s="6" t="str">
        <f>VLOOKUP(D66,'c.c'!A$1:B$343,2,FALSE)</f>
        <v>HOSPITAL VETERINÁRIO</v>
      </c>
      <c r="F66" s="7">
        <v>85</v>
      </c>
      <c r="G66" s="8" t="str">
        <f>VLOOKUP(F66,'controle saldo'!A$2:N$240,3,FALSE)</f>
        <v>MIDAZOLAM, DOSAGEM 5 MG/ML, APLICAÇÃO INJETÁVEL</v>
      </c>
      <c r="H66" s="7">
        <v>120</v>
      </c>
      <c r="I66" s="9">
        <f>VLOOKUP(F66,'controle saldo'!A$2:N$245,14,FALSE)</f>
        <v>3.5</v>
      </c>
      <c r="J66" s="10">
        <v>43000</v>
      </c>
      <c r="K66" s="6" t="s">
        <v>597</v>
      </c>
      <c r="L66" s="6">
        <v>120</v>
      </c>
      <c r="M66" s="11">
        <f t="shared" si="0"/>
        <v>420</v>
      </c>
      <c r="N66" s="12"/>
      <c r="O66" s="13"/>
      <c r="P66" s="6"/>
      <c r="Q66" s="6"/>
      <c r="R66" s="114" t="s">
        <v>607</v>
      </c>
    </row>
    <row r="67" spans="1:18" ht="63.75" x14ac:dyDescent="0.25">
      <c r="A67" s="13" t="s">
        <v>19</v>
      </c>
      <c r="B67" s="13" t="s">
        <v>20</v>
      </c>
      <c r="C67" s="10">
        <v>43259</v>
      </c>
      <c r="D67" s="6">
        <v>280010</v>
      </c>
      <c r="E67" s="6" t="str">
        <f>VLOOKUP(D67,'c.c'!A$1:B$343,2,FALSE)</f>
        <v>HOSPITAL VETERINÁRIO</v>
      </c>
      <c r="F67" s="7">
        <v>86</v>
      </c>
      <c r="G67" s="8" t="str">
        <f>VLOOKUP(F67,'controle saldo'!A$2:N$240,3,FALSE)</f>
        <v>MORFINA, APRESENTAÇÃO SULFATO, CONCENTRAÇÃO 10MG/ML, FORMA FARMACÊUTICA SOLUÇÃO INJETÁVEL</v>
      </c>
      <c r="H67" s="7">
        <v>200</v>
      </c>
      <c r="I67" s="9">
        <f>VLOOKUP(F67,'controle saldo'!A$2:N$245,14,FALSE)</f>
        <v>3.23</v>
      </c>
      <c r="J67" s="10">
        <v>43000</v>
      </c>
      <c r="K67" s="6" t="s">
        <v>599</v>
      </c>
      <c r="L67" s="6">
        <v>200</v>
      </c>
      <c r="M67" s="11">
        <f t="shared" ref="M67:M130" si="1">I67*L67</f>
        <v>646</v>
      </c>
      <c r="N67" s="12" t="s">
        <v>620</v>
      </c>
      <c r="O67" s="13" t="s">
        <v>621</v>
      </c>
      <c r="P67" s="6"/>
      <c r="Q67" s="6"/>
      <c r="R67" s="6" t="s">
        <v>603</v>
      </c>
    </row>
    <row r="68" spans="1:18" ht="51" x14ac:dyDescent="0.25">
      <c r="A68" s="13" t="s">
        <v>19</v>
      </c>
      <c r="B68" s="13" t="s">
        <v>20</v>
      </c>
      <c r="C68" s="10">
        <v>43259</v>
      </c>
      <c r="D68" s="6">
        <v>280010</v>
      </c>
      <c r="E68" s="6" t="str">
        <f>VLOOKUP(D68,'c.c'!A$1:B$343,2,FALSE)</f>
        <v>HOSPITAL VETERINÁRIO</v>
      </c>
      <c r="F68" s="7">
        <v>116</v>
      </c>
      <c r="G68" s="8" t="str">
        <f>VLOOKUP(F68,'controle saldo'!A$2:N$240,3,FALSE)</f>
        <v>TRAMADOL CLORIDRATO, DOSAGEM 50 MG/ML, FORMA FARMACÊUTICA SOLUÇÃO INJETÁVEL</v>
      </c>
      <c r="H68" s="7">
        <v>300</v>
      </c>
      <c r="I68" s="9">
        <f>VLOOKUP(F68,'controle saldo'!A$2:N$245,14,FALSE)</f>
        <v>1.45</v>
      </c>
      <c r="J68" s="10">
        <v>43000</v>
      </c>
      <c r="K68" s="6" t="s">
        <v>599</v>
      </c>
      <c r="L68" s="6">
        <v>300</v>
      </c>
      <c r="M68" s="11">
        <f t="shared" si="1"/>
        <v>435</v>
      </c>
      <c r="N68" s="12" t="s">
        <v>620</v>
      </c>
      <c r="O68" s="13" t="s">
        <v>621</v>
      </c>
      <c r="P68" s="6"/>
      <c r="Q68" s="6"/>
      <c r="R68" s="6" t="s">
        <v>603</v>
      </c>
    </row>
    <row r="69" spans="1:18" ht="51" x14ac:dyDescent="0.25">
      <c r="A69" s="13" t="s">
        <v>19</v>
      </c>
      <c r="B69" s="13" t="s">
        <v>20</v>
      </c>
      <c r="C69" s="10">
        <v>43259</v>
      </c>
      <c r="D69" s="6">
        <v>280010</v>
      </c>
      <c r="E69" s="6" t="str">
        <f>VLOOKUP(D69,'c.c'!A$1:B$343,2,FALSE)</f>
        <v>HOSPITAL VETERINÁRIO</v>
      </c>
      <c r="F69" s="7">
        <v>51</v>
      </c>
      <c r="G69" s="8" t="str">
        <f>VLOOKUP(F69,'controle saldo'!A$2:N$240,3,FALSE)</f>
        <v>EFEDRINA, APRESENTAÇÃO SULFATO, DOSAGEM 50 MG/ML, APLICAÇÃO SOLUÇÃO INJETÁVEL</v>
      </c>
      <c r="H69" s="7">
        <v>10</v>
      </c>
      <c r="I69" s="9">
        <f>VLOOKUP(F69,'controle saldo'!A$2:N$245,14,FALSE)</f>
        <v>5.61</v>
      </c>
      <c r="J69" s="10">
        <v>43000</v>
      </c>
      <c r="K69" s="6" t="s">
        <v>599</v>
      </c>
      <c r="L69" s="6">
        <v>10</v>
      </c>
      <c r="M69" s="11">
        <f t="shared" si="1"/>
        <v>56.1</v>
      </c>
      <c r="N69" s="12" t="s">
        <v>620</v>
      </c>
      <c r="O69" s="13" t="s">
        <v>621</v>
      </c>
      <c r="P69" s="6"/>
      <c r="Q69" s="6"/>
      <c r="R69" s="6" t="s">
        <v>603</v>
      </c>
    </row>
    <row r="70" spans="1:18" ht="38.25" x14ac:dyDescent="0.25">
      <c r="A70" s="13" t="s">
        <v>19</v>
      </c>
      <c r="B70" s="13" t="s">
        <v>20</v>
      </c>
      <c r="C70" s="10">
        <v>43259</v>
      </c>
      <c r="D70" s="6">
        <v>280010</v>
      </c>
      <c r="E70" s="6" t="str">
        <f>VLOOKUP(D70,'c.c'!A$1:B$343,2,FALSE)</f>
        <v>HOSPITAL VETERINÁRIO</v>
      </c>
      <c r="F70" s="7">
        <v>69</v>
      </c>
      <c r="G70" s="8" t="str">
        <f>VLOOKUP(F70,'controle saldo'!A$2:N$240,3,FALSE)</f>
        <v>HEPARINA SÓDICA, DOSAGEM 5.000 UI/0,25 ML, INDICAÇÃO INJETÁVEL</v>
      </c>
      <c r="H70" s="7">
        <v>25</v>
      </c>
      <c r="I70" s="9">
        <f>VLOOKUP(F70,'controle saldo'!A$2:N$245,14,FALSE)</f>
        <v>5</v>
      </c>
      <c r="J70" s="10">
        <v>43000</v>
      </c>
      <c r="K70" s="6" t="s">
        <v>596</v>
      </c>
      <c r="L70" s="6">
        <v>25</v>
      </c>
      <c r="M70" s="11">
        <f t="shared" si="1"/>
        <v>125</v>
      </c>
      <c r="N70" s="12" t="s">
        <v>605</v>
      </c>
      <c r="O70" s="13"/>
      <c r="P70" s="6"/>
      <c r="Q70" s="6"/>
      <c r="R70" s="157" t="s">
        <v>624</v>
      </c>
    </row>
    <row r="71" spans="1:18" s="151" customFormat="1" x14ac:dyDescent="0.25">
      <c r="A71" s="143" t="s">
        <v>19</v>
      </c>
      <c r="B71" s="143" t="s">
        <v>20</v>
      </c>
      <c r="C71" s="144">
        <v>43259</v>
      </c>
      <c r="D71" s="145"/>
      <c r="E71" s="145" t="e">
        <f>VLOOKUP(D71,'c.c'!A$1:B$343,2,FALSE)</f>
        <v>#N/A</v>
      </c>
      <c r="F71" s="146"/>
      <c r="G71" s="147" t="e">
        <f>VLOOKUP(F71,'controle saldo'!A$2:N$240,3,FALSE)</f>
        <v>#N/A</v>
      </c>
      <c r="H71" s="146"/>
      <c r="I71" s="148" t="e">
        <f>VLOOKUP(F71,'controle saldo'!A$2:N$245,14,FALSE)</f>
        <v>#N/A</v>
      </c>
      <c r="J71" s="144"/>
      <c r="K71" s="145"/>
      <c r="L71" s="145"/>
      <c r="M71" s="149" t="e">
        <f t="shared" si="1"/>
        <v>#N/A</v>
      </c>
      <c r="N71" s="150"/>
      <c r="O71" s="143"/>
      <c r="P71" s="145"/>
      <c r="Q71" s="145"/>
      <c r="R71" s="145"/>
    </row>
    <row r="72" spans="1:18" ht="25.5" x14ac:dyDescent="0.25">
      <c r="A72" s="13" t="s">
        <v>19</v>
      </c>
      <c r="B72" s="13" t="s">
        <v>20</v>
      </c>
      <c r="C72" s="10">
        <v>43259</v>
      </c>
      <c r="D72" s="6">
        <v>100070</v>
      </c>
      <c r="E72" s="6" t="str">
        <f>VLOOKUP(D72,'c.c'!A$1:B$343,2,FALSE)</f>
        <v>POSTO MÉDICO</v>
      </c>
      <c r="F72" s="7">
        <v>2</v>
      </c>
      <c r="G72" s="8" t="str">
        <f>VLOOKUP(F72,'controle saldo'!A$2:N$240,3,FALSE)</f>
        <v>ÁCIDO ACETILSALICÍLICO, DOSAGEM 100.</v>
      </c>
      <c r="H72" s="7">
        <v>18</v>
      </c>
      <c r="I72" s="9">
        <f>VLOOKUP(F72,'controle saldo'!A$2:N$245,14,FALSE)</f>
        <v>9.99</v>
      </c>
      <c r="J72" s="10">
        <v>43241</v>
      </c>
      <c r="K72" s="6" t="s">
        <v>625</v>
      </c>
      <c r="L72" s="6">
        <v>18</v>
      </c>
      <c r="M72" s="11">
        <f t="shared" si="1"/>
        <v>179.82</v>
      </c>
      <c r="N72" s="12" t="s">
        <v>630</v>
      </c>
      <c r="O72" s="13" t="s">
        <v>631</v>
      </c>
      <c r="P72" s="6"/>
      <c r="Q72" s="6"/>
      <c r="R72" s="6" t="s">
        <v>603</v>
      </c>
    </row>
    <row r="73" spans="1:18" ht="25.5" x14ac:dyDescent="0.25">
      <c r="A73" s="13" t="s">
        <v>19</v>
      </c>
      <c r="B73" s="13" t="s">
        <v>20</v>
      </c>
      <c r="C73" s="10">
        <v>43259</v>
      </c>
      <c r="D73" s="6">
        <v>100070</v>
      </c>
      <c r="E73" s="6" t="str">
        <f>VLOOKUP(D73,'c.c'!A$1:B$343,2,FALSE)</f>
        <v>POSTO MÉDICO</v>
      </c>
      <c r="F73" s="7">
        <v>5</v>
      </c>
      <c r="G73" s="8" t="str">
        <f>VLOOKUP(F73,'controle saldo'!A$2:N$240,3,FALSE)</f>
        <v>ÁCIDO MEFENÂMICO, DOSAGEM 500.</v>
      </c>
      <c r="H73" s="7">
        <v>4</v>
      </c>
      <c r="I73" s="9">
        <f>VLOOKUP(F73,'controle saldo'!A$2:N$245,14,FALSE)</f>
        <v>8.9600000000000009</v>
      </c>
      <c r="J73" s="10">
        <v>43241</v>
      </c>
      <c r="K73" s="6" t="s">
        <v>625</v>
      </c>
      <c r="L73" s="6">
        <v>4</v>
      </c>
      <c r="M73" s="11">
        <f t="shared" si="1"/>
        <v>35.840000000000003</v>
      </c>
      <c r="N73" s="12" t="s">
        <v>630</v>
      </c>
      <c r="O73" s="13" t="s">
        <v>631</v>
      </c>
      <c r="P73" s="6"/>
      <c r="Q73" s="6"/>
      <c r="R73" s="6" t="s">
        <v>603</v>
      </c>
    </row>
    <row r="74" spans="1:18" ht="38.25" x14ac:dyDescent="0.25">
      <c r="A74" s="13" t="s">
        <v>19</v>
      </c>
      <c r="B74" s="13" t="s">
        <v>20</v>
      </c>
      <c r="C74" s="10">
        <v>43259</v>
      </c>
      <c r="D74" s="6">
        <v>100070</v>
      </c>
      <c r="E74" s="6" t="str">
        <f>VLOOKUP(D74,'c.c'!A$1:B$343,2,FALSE)</f>
        <v>POSTO MÉDICO</v>
      </c>
      <c r="F74" s="7">
        <v>7</v>
      </c>
      <c r="G74" s="8" t="str">
        <f>VLOOKUP(F74,'controle saldo'!A$2:N$240,3,FALSE)</f>
        <v>ÁGUA DESTILADA, ASPECTO FÍSICO BIDESTILADA, ESTÉRIL, APIROGÊNICA</v>
      </c>
      <c r="H74" s="7">
        <v>1500</v>
      </c>
      <c r="I74" s="9">
        <f>VLOOKUP(F74,'controle saldo'!A$2:N$245,14,FALSE)</f>
        <v>0.32</v>
      </c>
      <c r="J74" s="10">
        <v>43241</v>
      </c>
      <c r="K74" s="6" t="s">
        <v>625</v>
      </c>
      <c r="L74" s="6">
        <v>1500</v>
      </c>
      <c r="M74" s="11">
        <f t="shared" si="1"/>
        <v>480</v>
      </c>
      <c r="N74" s="12" t="s">
        <v>630</v>
      </c>
      <c r="O74" s="13" t="s">
        <v>631</v>
      </c>
      <c r="P74" s="6"/>
      <c r="Q74" s="6"/>
      <c r="R74" s="6" t="s">
        <v>603</v>
      </c>
    </row>
    <row r="75" spans="1:18" ht="51" x14ac:dyDescent="0.25">
      <c r="A75" s="13" t="s">
        <v>19</v>
      </c>
      <c r="B75" s="13" t="s">
        <v>20</v>
      </c>
      <c r="C75" s="10">
        <v>43259</v>
      </c>
      <c r="D75" s="6">
        <v>100070</v>
      </c>
      <c r="E75" s="6" t="str">
        <f>VLOOKUP(D75,'c.c'!A$1:B$343,2,FALSE)</f>
        <v>POSTO MÉDICO</v>
      </c>
      <c r="F75" s="7">
        <v>9</v>
      </c>
      <c r="G75" s="8" t="str">
        <f>VLOOKUP(F75,'controle saldo'!A$2:N$240,3,FALSE)</f>
        <v>AMINOFILINA, DOSAGEM 24 MG/ML, FORMA FARMACÊUTICA SOLUÇÃO INJETÁVEL</v>
      </c>
      <c r="H75" s="7">
        <v>50</v>
      </c>
      <c r="I75" s="9">
        <f>VLOOKUP(F75,'controle saldo'!A$2:N$245,14,FALSE)</f>
        <v>1.2</v>
      </c>
      <c r="J75" s="10">
        <v>43241</v>
      </c>
      <c r="K75" s="6" t="s">
        <v>625</v>
      </c>
      <c r="L75" s="6">
        <v>50</v>
      </c>
      <c r="M75" s="11">
        <f t="shared" si="1"/>
        <v>60</v>
      </c>
      <c r="N75" s="12" t="s">
        <v>630</v>
      </c>
      <c r="O75" s="13" t="s">
        <v>631</v>
      </c>
      <c r="P75" s="6"/>
      <c r="Q75" s="6"/>
      <c r="R75" s="6" t="s">
        <v>603</v>
      </c>
    </row>
    <row r="76" spans="1:18" ht="38.25" x14ac:dyDescent="0.25">
      <c r="A76" s="13" t="s">
        <v>19</v>
      </c>
      <c r="B76" s="13" t="s">
        <v>20</v>
      </c>
      <c r="C76" s="10">
        <v>43259</v>
      </c>
      <c r="D76" s="6">
        <v>100070</v>
      </c>
      <c r="E76" s="6" t="str">
        <f>VLOOKUP(D76,'c.c'!A$1:B$343,2,FALSE)</f>
        <v>POSTO MÉDICO</v>
      </c>
      <c r="F76" s="7">
        <v>10</v>
      </c>
      <c r="G76" s="8" t="str">
        <f>VLOOKUP(F76,'controle saldo'!A$2:N$240,3,FALSE)</f>
        <v>AMIODARONA, DOSAGEM 50MG/ML, INDICAÇÃO INJETÁVEL</v>
      </c>
      <c r="H76" s="7">
        <v>20</v>
      </c>
      <c r="I76" s="9">
        <f>VLOOKUP(F76,'controle saldo'!A$2:N$245,14,FALSE)</f>
        <v>2.0099999999999998</v>
      </c>
      <c r="J76" s="10">
        <v>43241</v>
      </c>
      <c r="K76" s="6" t="s">
        <v>625</v>
      </c>
      <c r="L76" s="6">
        <v>20</v>
      </c>
      <c r="M76" s="11">
        <f t="shared" si="1"/>
        <v>40.199999999999996</v>
      </c>
      <c r="N76" s="12" t="s">
        <v>630</v>
      </c>
      <c r="O76" s="13" t="s">
        <v>631</v>
      </c>
      <c r="P76" s="6"/>
      <c r="Q76" s="6"/>
      <c r="R76" s="6" t="s">
        <v>603</v>
      </c>
    </row>
    <row r="77" spans="1:18" ht="25.5" x14ac:dyDescent="0.25">
      <c r="A77" s="13" t="s">
        <v>19</v>
      </c>
      <c r="B77" s="13" t="s">
        <v>20</v>
      </c>
      <c r="C77" s="10">
        <v>43259</v>
      </c>
      <c r="D77" s="6">
        <v>100070</v>
      </c>
      <c r="E77" s="6" t="str">
        <f>VLOOKUP(D77,'c.c'!A$1:B$343,2,FALSE)</f>
        <v>POSTO MÉDICO</v>
      </c>
      <c r="F77" s="7">
        <v>19</v>
      </c>
      <c r="G77" s="8" t="str">
        <f>VLOOKUP(F77,'controle saldo'!A$2:N$240,3,FALSE)</f>
        <v>BROMOPRIDA, DOSAGEM 10 MG</v>
      </c>
      <c r="H77" s="7">
        <v>250</v>
      </c>
      <c r="I77" s="9">
        <f>VLOOKUP(F77,'controle saldo'!A$2:N$245,14,FALSE)</f>
        <v>1.19</v>
      </c>
      <c r="J77" s="10">
        <v>43241</v>
      </c>
      <c r="K77" s="6" t="s">
        <v>625</v>
      </c>
      <c r="L77" s="6">
        <v>250</v>
      </c>
      <c r="M77" s="11">
        <f t="shared" si="1"/>
        <v>297.5</v>
      </c>
      <c r="N77" s="12" t="s">
        <v>630</v>
      </c>
      <c r="O77" s="13" t="s">
        <v>631</v>
      </c>
      <c r="P77" s="6"/>
      <c r="Q77" s="6"/>
      <c r="R77" s="6" t="s">
        <v>603</v>
      </c>
    </row>
    <row r="78" spans="1:18" ht="38.25" x14ac:dyDescent="0.25">
      <c r="A78" s="13" t="s">
        <v>19</v>
      </c>
      <c r="B78" s="13" t="s">
        <v>20</v>
      </c>
      <c r="C78" s="10">
        <v>43259</v>
      </c>
      <c r="D78" s="6">
        <v>100070</v>
      </c>
      <c r="E78" s="6" t="str">
        <f>VLOOKUP(D78,'c.c'!A$1:B$343,2,FALSE)</f>
        <v>POSTO MÉDICO</v>
      </c>
      <c r="F78" s="7">
        <v>20</v>
      </c>
      <c r="G78" s="8" t="str">
        <f>VLOOKUP(F78,'controle saldo'!A$2:N$240,3,FALSE)</f>
        <v>BROMOPRIDA, DOSAGEM 4 MG/ML, APRESENTAÇÃO GOTAS</v>
      </c>
      <c r="H78" s="7">
        <v>10</v>
      </c>
      <c r="I78" s="9">
        <f>VLOOKUP(F78,'controle saldo'!A$2:N$245,14,FALSE)</f>
        <v>1.61</v>
      </c>
      <c r="J78" s="10">
        <v>43241</v>
      </c>
      <c r="K78" s="6" t="s">
        <v>625</v>
      </c>
      <c r="L78" s="6">
        <v>10</v>
      </c>
      <c r="M78" s="11">
        <f t="shared" si="1"/>
        <v>16.100000000000001</v>
      </c>
      <c r="N78" s="12" t="s">
        <v>630</v>
      </c>
      <c r="O78" s="13" t="s">
        <v>631</v>
      </c>
      <c r="P78" s="6"/>
      <c r="Q78" s="6"/>
      <c r="R78" s="6" t="s">
        <v>603</v>
      </c>
    </row>
    <row r="79" spans="1:18" ht="63.75" x14ac:dyDescent="0.25">
      <c r="A79" s="13" t="s">
        <v>19</v>
      </c>
      <c r="B79" s="13" t="s">
        <v>20</v>
      </c>
      <c r="C79" s="10">
        <v>43259</v>
      </c>
      <c r="D79" s="6">
        <v>100070</v>
      </c>
      <c r="E79" s="6" t="str">
        <f>VLOOKUP(D79,'c.c'!A$1:B$343,2,FALSE)</f>
        <v>POSTO MÉDICO</v>
      </c>
      <c r="F79" s="7">
        <v>25</v>
      </c>
      <c r="G79" s="8" t="str">
        <f>VLOOKUP(F79,'controle saldo'!A$2:N$240,3,FALSE)</f>
        <v>CLORETO DE SÓDIO, PRINCÍPIO ATIVO 0,9%_ SOLUÇÃO INJETÁVEL, APLICAÇÃO SISTEMA FECHADO</v>
      </c>
      <c r="H79" s="7">
        <v>50</v>
      </c>
      <c r="I79" s="9">
        <f>VLOOKUP(F79,'controle saldo'!A$2:N$245,14,FALSE)</f>
        <v>0.81</v>
      </c>
      <c r="J79" s="10">
        <v>43241</v>
      </c>
      <c r="K79" s="6" t="s">
        <v>625</v>
      </c>
      <c r="L79" s="6">
        <v>50</v>
      </c>
      <c r="M79" s="11">
        <f t="shared" si="1"/>
        <v>40.5</v>
      </c>
      <c r="N79" s="12" t="s">
        <v>630</v>
      </c>
      <c r="O79" s="13" t="s">
        <v>631</v>
      </c>
      <c r="P79" s="6"/>
      <c r="Q79" s="6"/>
      <c r="R79" s="6" t="s">
        <v>603</v>
      </c>
    </row>
    <row r="80" spans="1:18" ht="38.25" x14ac:dyDescent="0.25">
      <c r="A80" s="13" t="s">
        <v>19</v>
      </c>
      <c r="B80" s="13" t="s">
        <v>20</v>
      </c>
      <c r="C80" s="10">
        <v>43259</v>
      </c>
      <c r="D80" s="6">
        <v>100070</v>
      </c>
      <c r="E80" s="6" t="str">
        <f>VLOOKUP(D80,'c.c'!A$1:B$343,2,FALSE)</f>
        <v>POSTO MÉDICO</v>
      </c>
      <c r="F80" s="7">
        <v>26</v>
      </c>
      <c r="G80" s="8" t="str">
        <f>VLOOKUP(F80,'controle saldo'!A$2:N$240,3,FALSE)</f>
        <v>CLORETO DE SÓDIO, DOSAGEM 20%, USO SOLUÇÃO INJETÁVEL</v>
      </c>
      <c r="H80" s="7">
        <v>10</v>
      </c>
      <c r="I80" s="9">
        <f>VLOOKUP(F80,'controle saldo'!A$2:N$245,14,FALSE)</f>
        <v>0.55000000000000004</v>
      </c>
      <c r="J80" s="10">
        <v>43241</v>
      </c>
      <c r="K80" s="6" t="s">
        <v>625</v>
      </c>
      <c r="L80" s="6">
        <v>10</v>
      </c>
      <c r="M80" s="11">
        <f t="shared" si="1"/>
        <v>5.5</v>
      </c>
      <c r="N80" s="12" t="s">
        <v>630</v>
      </c>
      <c r="O80" s="13" t="s">
        <v>631</v>
      </c>
      <c r="P80" s="6"/>
      <c r="Q80" s="6"/>
      <c r="R80" s="6" t="s">
        <v>603</v>
      </c>
    </row>
    <row r="81" spans="1:18" x14ac:dyDescent="0.25">
      <c r="A81" s="13" t="s">
        <v>19</v>
      </c>
      <c r="B81" s="13" t="s">
        <v>20</v>
      </c>
      <c r="C81" s="10">
        <v>43259</v>
      </c>
      <c r="D81" s="6">
        <v>100070</v>
      </c>
      <c r="E81" s="6" t="str">
        <f>VLOOKUP(D81,'c.c'!A$1:B$343,2,FALSE)</f>
        <v>POSTO MÉDICO</v>
      </c>
      <c r="F81" s="7">
        <v>32</v>
      </c>
      <c r="G81" s="8" t="str">
        <f>VLOOKUP(F81,'controle saldo'!A$2:N$240,3,FALSE)</f>
        <v>CLOPIDROGEL, DOSAGEM 75</v>
      </c>
      <c r="H81" s="7">
        <v>6</v>
      </c>
      <c r="I81" s="9">
        <f>VLOOKUP(F81,'controle saldo'!A$2:N$245,14,FALSE)</f>
        <v>18</v>
      </c>
      <c r="J81" s="10">
        <v>43241</v>
      </c>
      <c r="K81" s="6" t="s">
        <v>625</v>
      </c>
      <c r="L81" s="6">
        <v>6</v>
      </c>
      <c r="M81" s="11">
        <f t="shared" si="1"/>
        <v>108</v>
      </c>
      <c r="N81" s="12" t="s">
        <v>630</v>
      </c>
      <c r="O81" s="13" t="s">
        <v>631</v>
      </c>
      <c r="P81" s="6"/>
      <c r="Q81" s="6"/>
      <c r="R81" s="6" t="s">
        <v>603</v>
      </c>
    </row>
    <row r="82" spans="1:18" ht="38.25" x14ac:dyDescent="0.25">
      <c r="A82" s="13" t="s">
        <v>19</v>
      </c>
      <c r="B82" s="13" t="s">
        <v>20</v>
      </c>
      <c r="C82" s="10">
        <v>43259</v>
      </c>
      <c r="D82" s="6">
        <v>100070</v>
      </c>
      <c r="E82" s="6" t="str">
        <f>VLOOKUP(D82,'c.c'!A$1:B$343,2,FALSE)</f>
        <v>POSTO MÉDICO</v>
      </c>
      <c r="F82" s="7">
        <v>37</v>
      </c>
      <c r="G82" s="8" t="str">
        <f>VLOOKUP(F82,'controle saldo'!A$2:N$240,3,FALSE)</f>
        <v>DESLANÓSIDO, DOSAGEM 0,2 MG/ML, APRESENTAÇÃO SOLUÇÃO INJETÁVEL</v>
      </c>
      <c r="H82" s="7">
        <v>25</v>
      </c>
      <c r="I82" s="9">
        <f>VLOOKUP(F82,'controle saldo'!A$2:N$245,14,FALSE)</f>
        <v>2.16</v>
      </c>
      <c r="J82" s="10">
        <v>43241</v>
      </c>
      <c r="K82" s="6" t="s">
        <v>625</v>
      </c>
      <c r="L82" s="6">
        <v>25</v>
      </c>
      <c r="M82" s="11">
        <f t="shared" si="1"/>
        <v>54</v>
      </c>
      <c r="N82" s="12" t="s">
        <v>630</v>
      </c>
      <c r="O82" s="13" t="s">
        <v>631</v>
      </c>
      <c r="P82" s="6"/>
      <c r="Q82" s="6"/>
      <c r="R82" s="6" t="s">
        <v>603</v>
      </c>
    </row>
    <row r="83" spans="1:18" ht="25.5" x14ac:dyDescent="0.25">
      <c r="A83" s="13" t="s">
        <v>19</v>
      </c>
      <c r="B83" s="13" t="s">
        <v>20</v>
      </c>
      <c r="C83" s="10">
        <v>43259</v>
      </c>
      <c r="D83" s="6">
        <v>100070</v>
      </c>
      <c r="E83" s="6" t="str">
        <f>VLOOKUP(D83,'c.c'!A$1:B$343,2,FALSE)</f>
        <v>POSTO MÉDICO</v>
      </c>
      <c r="F83" s="7">
        <v>38</v>
      </c>
      <c r="G83" s="8" t="str">
        <f>VLOOKUP(F83,'controle saldo'!A$2:N$240,3,FALSE)</f>
        <v>DEXAMETASONA, DOSAGEM 4 MG</v>
      </c>
      <c r="H83" s="7">
        <v>200</v>
      </c>
      <c r="I83" s="9">
        <f>VLOOKUP(F83,'controle saldo'!A$2:N$245,14,FALSE)</f>
        <v>0.97</v>
      </c>
      <c r="J83" s="10">
        <v>43241</v>
      </c>
      <c r="K83" s="6" t="s">
        <v>625</v>
      </c>
      <c r="L83" s="6">
        <v>200</v>
      </c>
      <c r="M83" s="11">
        <f t="shared" si="1"/>
        <v>194</v>
      </c>
      <c r="N83" s="12" t="s">
        <v>630</v>
      </c>
      <c r="O83" s="13" t="s">
        <v>631</v>
      </c>
      <c r="P83" s="6"/>
      <c r="Q83" s="6"/>
      <c r="R83" s="6" t="s">
        <v>603</v>
      </c>
    </row>
    <row r="84" spans="1:18" ht="38.25" x14ac:dyDescent="0.25">
      <c r="A84" s="13" t="s">
        <v>19</v>
      </c>
      <c r="B84" s="13" t="s">
        <v>20</v>
      </c>
      <c r="C84" s="10">
        <v>43259</v>
      </c>
      <c r="D84" s="6">
        <v>100070</v>
      </c>
      <c r="E84" s="6" t="str">
        <f>VLOOKUP(D84,'c.c'!A$1:B$343,2,FALSE)</f>
        <v>POSTO MÉDICO</v>
      </c>
      <c r="F84" s="7">
        <v>41</v>
      </c>
      <c r="G84" s="8" t="str">
        <f>VLOOKUP(F84,'controle saldo'!A$2:N$240,3,FALSE)</f>
        <v>DIAZEPAM, DOSAGEM 5 MG/ML, APRESENTAÇÃO SOLUÇÃO INJETÁVEL</v>
      </c>
      <c r="H84" s="7">
        <v>50</v>
      </c>
      <c r="I84" s="9">
        <f>VLOOKUP(F84,'controle saldo'!A$2:N$245,14,FALSE)</f>
        <v>1.1399999999999999</v>
      </c>
      <c r="J84" s="10">
        <v>43241</v>
      </c>
      <c r="K84" s="6" t="s">
        <v>625</v>
      </c>
      <c r="L84" s="6">
        <v>50</v>
      </c>
      <c r="M84" s="11">
        <f t="shared" si="1"/>
        <v>56.999999999999993</v>
      </c>
      <c r="N84" s="12" t="s">
        <v>630</v>
      </c>
      <c r="O84" s="13" t="s">
        <v>631</v>
      </c>
      <c r="P84" s="6"/>
      <c r="Q84" s="6"/>
      <c r="R84" s="6" t="s">
        <v>603</v>
      </c>
    </row>
    <row r="85" spans="1:18" ht="63.75" x14ac:dyDescent="0.25">
      <c r="A85" s="13" t="s">
        <v>19</v>
      </c>
      <c r="B85" s="13" t="s">
        <v>20</v>
      </c>
      <c r="C85" s="10">
        <v>43259</v>
      </c>
      <c r="D85" s="6">
        <v>100070</v>
      </c>
      <c r="E85" s="6" t="str">
        <f>VLOOKUP(D85,'c.c'!A$1:B$343,2,FALSE)</f>
        <v>POSTO MÉDICO</v>
      </c>
      <c r="F85" s="7">
        <v>46</v>
      </c>
      <c r="G85" s="8" t="str">
        <f>VLOOKUP(F85,'controle saldo'!A$2:N$240,3,FALSE)</f>
        <v>DICLOFENACO, APRESENTAÇÃO SAL SÓDICO, DOSAGEM 25MG/ML, USO SOLUÇÃO INJETÁVEL</v>
      </c>
      <c r="H85" s="7">
        <v>1000</v>
      </c>
      <c r="I85" s="9">
        <f>VLOOKUP(F85,'controle saldo'!A$2:N$245,14,FALSE)</f>
        <v>0.6</v>
      </c>
      <c r="J85" s="10">
        <v>43241</v>
      </c>
      <c r="K85" s="6" t="s">
        <v>625</v>
      </c>
      <c r="L85" s="6">
        <v>1000</v>
      </c>
      <c r="M85" s="11">
        <f t="shared" si="1"/>
        <v>600</v>
      </c>
      <c r="N85" s="12" t="s">
        <v>630</v>
      </c>
      <c r="O85" s="13" t="s">
        <v>631</v>
      </c>
      <c r="P85" s="6"/>
      <c r="Q85" s="6"/>
      <c r="R85" s="6" t="s">
        <v>603</v>
      </c>
    </row>
    <row r="86" spans="1:18" ht="51" x14ac:dyDescent="0.25">
      <c r="A86" s="13" t="s">
        <v>19</v>
      </c>
      <c r="B86" s="13" t="s">
        <v>20</v>
      </c>
      <c r="C86" s="10">
        <v>43259</v>
      </c>
      <c r="D86" s="6">
        <v>100070</v>
      </c>
      <c r="E86" s="6" t="str">
        <f>VLOOKUP(D86,'c.c'!A$1:B$343,2,FALSE)</f>
        <v>POSTO MÉDICO</v>
      </c>
      <c r="F86" s="7">
        <v>48</v>
      </c>
      <c r="G86" s="8" t="str">
        <f>VLOOKUP(F86,'controle saldo'!A$2:N$240,3,FALSE)</f>
        <v>DIPIRONA SÓDICA, DOSAGEM 500 MG/ML, APRESENTAÇÃO SOLUÇÃO INJETÁVEL</v>
      </c>
      <c r="H86" s="7">
        <v>1650</v>
      </c>
      <c r="I86" s="9">
        <f>VLOOKUP(F86,'controle saldo'!A$2:N$245,14,FALSE)</f>
        <v>0.75</v>
      </c>
      <c r="J86" s="10">
        <v>43241</v>
      </c>
      <c r="K86" s="6" t="s">
        <v>625</v>
      </c>
      <c r="L86" s="6">
        <v>1650</v>
      </c>
      <c r="M86" s="11">
        <f t="shared" si="1"/>
        <v>1237.5</v>
      </c>
      <c r="N86" s="12" t="s">
        <v>630</v>
      </c>
      <c r="O86" s="13" t="s">
        <v>631</v>
      </c>
      <c r="P86" s="6"/>
      <c r="Q86" s="6"/>
      <c r="R86" s="6" t="s">
        <v>603</v>
      </c>
    </row>
    <row r="87" spans="1:18" ht="38.25" x14ac:dyDescent="0.25">
      <c r="A87" s="13" t="s">
        <v>19</v>
      </c>
      <c r="B87" s="13" t="s">
        <v>20</v>
      </c>
      <c r="C87" s="10">
        <v>43259</v>
      </c>
      <c r="D87" s="6">
        <v>100070</v>
      </c>
      <c r="E87" s="6" t="str">
        <f>VLOOKUP(D87,'c.c'!A$1:B$343,2,FALSE)</f>
        <v>POSTO MÉDICO</v>
      </c>
      <c r="F87" s="7">
        <v>50</v>
      </c>
      <c r="G87" s="8" t="str">
        <f>VLOOKUP(F87,'controle saldo'!A$2:N$240,3,FALSE)</f>
        <v>DOPAMINA, DOSAGEM 5 MG/ML, APRESENTAÇÃO SOLUÇÃO INJETÁVEL</v>
      </c>
      <c r="H87" s="7">
        <v>10</v>
      </c>
      <c r="I87" s="9">
        <f>VLOOKUP(F87,'controle saldo'!A$2:N$245,14,FALSE)</f>
        <v>1.77</v>
      </c>
      <c r="J87" s="10">
        <v>43241</v>
      </c>
      <c r="K87" s="6" t="s">
        <v>625</v>
      </c>
      <c r="L87" s="6">
        <v>10</v>
      </c>
      <c r="M87" s="11">
        <f t="shared" si="1"/>
        <v>17.7</v>
      </c>
      <c r="N87" s="12" t="s">
        <v>630</v>
      </c>
      <c r="O87" s="13" t="s">
        <v>631</v>
      </c>
      <c r="P87" s="6"/>
      <c r="Q87" s="6"/>
      <c r="R87" s="6" t="s">
        <v>603</v>
      </c>
    </row>
    <row r="88" spans="1:18" ht="38.25" x14ac:dyDescent="0.25">
      <c r="A88" s="13" t="s">
        <v>19</v>
      </c>
      <c r="B88" s="13" t="s">
        <v>20</v>
      </c>
      <c r="C88" s="10">
        <v>43259</v>
      </c>
      <c r="D88" s="6">
        <v>100070</v>
      </c>
      <c r="E88" s="6" t="str">
        <f>VLOOKUP(D88,'c.c'!A$1:B$343,2,FALSE)</f>
        <v>POSTO MÉDICO</v>
      </c>
      <c r="F88" s="7">
        <v>52</v>
      </c>
      <c r="G88" s="8" t="str">
        <f>VLOOKUP(F88,'controle saldo'!A$2:N$240,3,FALSE)</f>
        <v>EPINEFRINA, DOSAGEM 1MG/ML, USO SOLUÇÃO INJETÁVEL</v>
      </c>
      <c r="H88" s="7">
        <v>20</v>
      </c>
      <c r="I88" s="9">
        <f>VLOOKUP(F88,'controle saldo'!A$2:N$245,14,FALSE)</f>
        <v>3.5</v>
      </c>
      <c r="J88" s="10">
        <v>43241</v>
      </c>
      <c r="K88" s="6" t="s">
        <v>625</v>
      </c>
      <c r="L88" s="6">
        <v>20</v>
      </c>
      <c r="M88" s="11">
        <f t="shared" si="1"/>
        <v>70</v>
      </c>
      <c r="N88" s="12" t="s">
        <v>630</v>
      </c>
      <c r="O88" s="13" t="s">
        <v>631</v>
      </c>
      <c r="P88" s="6"/>
      <c r="Q88" s="6"/>
      <c r="R88" s="6" t="s">
        <v>603</v>
      </c>
    </row>
    <row r="89" spans="1:18" ht="51" x14ac:dyDescent="0.25">
      <c r="A89" s="13" t="s">
        <v>19</v>
      </c>
      <c r="B89" s="13" t="s">
        <v>20</v>
      </c>
      <c r="C89" s="10">
        <v>43259</v>
      </c>
      <c r="D89" s="6">
        <v>100070</v>
      </c>
      <c r="E89" s="6" t="str">
        <f>VLOOKUP(D89,'c.c'!A$1:B$343,2,FALSE)</f>
        <v>POSTO MÉDICO</v>
      </c>
      <c r="F89" s="7">
        <v>54</v>
      </c>
      <c r="G89" s="8" t="str">
        <f>VLOOKUP(F89,'controle saldo'!A$2:N$240,3,FALSE)</f>
        <v>ESCOPOLAMINA BUTILBROMETO, DOSAGEM 20 MG/ML, INDICAÇÃO SOLUÇÃO INJETÁVEL</v>
      </c>
      <c r="H89" s="7">
        <v>250</v>
      </c>
      <c r="I89" s="9">
        <f>VLOOKUP(F89,'controle saldo'!A$2:N$245,14,FALSE)</f>
        <v>1.4</v>
      </c>
      <c r="J89" s="10">
        <v>43241</v>
      </c>
      <c r="K89" s="6" t="s">
        <v>625</v>
      </c>
      <c r="L89" s="6">
        <v>250</v>
      </c>
      <c r="M89" s="11">
        <f t="shared" si="1"/>
        <v>350</v>
      </c>
      <c r="N89" s="12" t="s">
        <v>630</v>
      </c>
      <c r="O89" s="13" t="s">
        <v>631</v>
      </c>
      <c r="P89" s="6"/>
      <c r="Q89" s="6"/>
      <c r="R89" s="6" t="s">
        <v>603</v>
      </c>
    </row>
    <row r="90" spans="1:18" ht="51" x14ac:dyDescent="0.25">
      <c r="A90" s="13" t="s">
        <v>19</v>
      </c>
      <c r="B90" s="13" t="s">
        <v>20</v>
      </c>
      <c r="C90" s="10">
        <v>43259</v>
      </c>
      <c r="D90" s="6">
        <v>100070</v>
      </c>
      <c r="E90" s="6" t="str">
        <f>VLOOKUP(D90,'c.c'!A$1:B$343,2,FALSE)</f>
        <v>POSTO MÉDICO</v>
      </c>
      <c r="F90" s="7">
        <v>60</v>
      </c>
      <c r="G90" s="8" t="str">
        <f>VLOOKUP(F90,'controle saldo'!A$2:N$240,3,FALSE)</f>
        <v>FITOMENADIONA, DOSAGEM 10 MG/ML, APRESENTAÇÃO SOLUÇÃO INJETÁVEL</v>
      </c>
      <c r="H90" s="7">
        <v>10</v>
      </c>
      <c r="I90" s="9">
        <f>VLOOKUP(F90,'controle saldo'!A$2:N$245,14,FALSE)</f>
        <v>3.43</v>
      </c>
      <c r="J90" s="10">
        <v>43241</v>
      </c>
      <c r="K90" s="6" t="s">
        <v>625</v>
      </c>
      <c r="L90" s="6">
        <v>10</v>
      </c>
      <c r="M90" s="11">
        <f t="shared" si="1"/>
        <v>34.300000000000004</v>
      </c>
      <c r="N90" s="12" t="s">
        <v>630</v>
      </c>
      <c r="O90" s="13" t="s">
        <v>631</v>
      </c>
      <c r="P90" s="6"/>
      <c r="Q90" s="6"/>
      <c r="R90" s="6" t="s">
        <v>603</v>
      </c>
    </row>
    <row r="91" spans="1:18" ht="38.25" x14ac:dyDescent="0.25">
      <c r="A91" s="13" t="s">
        <v>19</v>
      </c>
      <c r="B91" s="13" t="s">
        <v>20</v>
      </c>
      <c r="C91" s="10">
        <v>43259</v>
      </c>
      <c r="D91" s="6">
        <v>100070</v>
      </c>
      <c r="E91" s="6" t="str">
        <f>VLOOKUP(D91,'c.c'!A$1:B$343,2,FALSE)</f>
        <v>POSTO MÉDICO</v>
      </c>
      <c r="F91" s="7">
        <v>64</v>
      </c>
      <c r="G91" s="8" t="str">
        <f>VLOOKUP(F91,'controle saldo'!A$2:N$240,3,FALSE)</f>
        <v>GLICOSE, CONCENTRAÇÃO 25%, INDICAÇÃO SOLUÇÃO INJETÁVEL</v>
      </c>
      <c r="H91" s="7">
        <v>400</v>
      </c>
      <c r="I91" s="9">
        <f>VLOOKUP(F91,'controle saldo'!A$2:N$245,14,FALSE)</f>
        <v>0.43</v>
      </c>
      <c r="J91" s="10">
        <v>43241</v>
      </c>
      <c r="K91" s="6" t="s">
        <v>625</v>
      </c>
      <c r="L91" s="6">
        <v>400</v>
      </c>
      <c r="M91" s="11">
        <f t="shared" si="1"/>
        <v>172</v>
      </c>
      <c r="N91" s="12" t="s">
        <v>630</v>
      </c>
      <c r="O91" s="13" t="s">
        <v>631</v>
      </c>
      <c r="P91" s="6"/>
      <c r="Q91" s="6"/>
      <c r="R91" s="6" t="s">
        <v>603</v>
      </c>
    </row>
    <row r="92" spans="1:18" ht="76.5" x14ac:dyDescent="0.25">
      <c r="A92" s="13" t="s">
        <v>19</v>
      </c>
      <c r="B92" s="13" t="s">
        <v>20</v>
      </c>
      <c r="C92" s="10">
        <v>43259</v>
      </c>
      <c r="D92" s="6">
        <v>100070</v>
      </c>
      <c r="E92" s="6" t="str">
        <f>VLOOKUP(D92,'c.c'!A$1:B$343,2,FALSE)</f>
        <v>POSTO MÉDICO</v>
      </c>
      <c r="F92" s="7">
        <v>68</v>
      </c>
      <c r="G92" s="8" t="str">
        <f>VLOOKUP(F92,'controle saldo'!A$2:N$240,3,FALSE)</f>
        <v>HALOPERIDOL, APRESENTAÇÃO SAL DECANOATO, CONCENTRAÇÃO 50 MG/ML, TIPO USO SOLUÇÃO INJETÁVEL</v>
      </c>
      <c r="H92" s="7">
        <v>10</v>
      </c>
      <c r="I92" s="9">
        <f>VLOOKUP(F92,'controle saldo'!A$2:N$245,14,FALSE)</f>
        <v>14.59</v>
      </c>
      <c r="J92" s="10">
        <v>43241</v>
      </c>
      <c r="K92" s="6" t="s">
        <v>625</v>
      </c>
      <c r="L92" s="6">
        <v>10</v>
      </c>
      <c r="M92" s="11">
        <f t="shared" si="1"/>
        <v>145.9</v>
      </c>
      <c r="N92" s="12" t="s">
        <v>630</v>
      </c>
      <c r="O92" s="13" t="s">
        <v>631</v>
      </c>
      <c r="P92" s="6"/>
      <c r="Q92" s="6"/>
      <c r="R92" s="6" t="s">
        <v>603</v>
      </c>
    </row>
    <row r="93" spans="1:18" ht="63.75" x14ac:dyDescent="0.25">
      <c r="A93" s="13" t="s">
        <v>19</v>
      </c>
      <c r="B93" s="13" t="s">
        <v>20</v>
      </c>
      <c r="C93" s="10">
        <v>43259</v>
      </c>
      <c r="D93" s="6">
        <v>100070</v>
      </c>
      <c r="E93" s="6" t="str">
        <f>VLOOKUP(D93,'c.c'!A$1:B$343,2,FALSE)</f>
        <v>POSTO MÉDICO</v>
      </c>
      <c r="F93" s="7">
        <v>70</v>
      </c>
      <c r="G93" s="8" t="str">
        <f>VLOOKUP(F93,'controle saldo'!A$2:N$240,3,FALSE)</f>
        <v>HIDROCORTISONA, COMPOSIÇÃO SAL ACETATO, CONCENTRAÇÃO 100 MG, FORMA FARMACÊUTICA PÓ LIÓFILO P/ INJETÁVEL</v>
      </c>
      <c r="H93" s="7">
        <v>100</v>
      </c>
      <c r="I93" s="9">
        <f>VLOOKUP(F93,'controle saldo'!A$2:N$245,14,FALSE)</f>
        <v>5.84</v>
      </c>
      <c r="J93" s="10">
        <v>43241</v>
      </c>
      <c r="K93" s="6" t="s">
        <v>625</v>
      </c>
      <c r="L93" s="6">
        <v>100</v>
      </c>
      <c r="M93" s="11">
        <f t="shared" si="1"/>
        <v>584</v>
      </c>
      <c r="N93" s="12" t="s">
        <v>630</v>
      </c>
      <c r="O93" s="13" t="s">
        <v>631</v>
      </c>
      <c r="P93" s="6"/>
      <c r="Q93" s="6"/>
      <c r="R93" s="6" t="s">
        <v>603</v>
      </c>
    </row>
    <row r="94" spans="1:18" ht="38.25" x14ac:dyDescent="0.25">
      <c r="A94" s="13" t="s">
        <v>19</v>
      </c>
      <c r="B94" s="13" t="s">
        <v>20</v>
      </c>
      <c r="C94" s="10">
        <v>43259</v>
      </c>
      <c r="D94" s="6">
        <v>100070</v>
      </c>
      <c r="E94" s="6" t="str">
        <f>VLOOKUP(D94,'c.c'!A$1:B$343,2,FALSE)</f>
        <v>POSTO MÉDICO</v>
      </c>
      <c r="F94" s="7">
        <v>73</v>
      </c>
      <c r="G94" s="8" t="str">
        <f>VLOOKUP(F94,'controle saldo'!A$2:N$240,3,FALSE)</f>
        <v>IPRATRÓPIO BROMETO, DOSAGEM 0,25 MG/ML, USO SOLUÇÃO PARA INALAÇÃO</v>
      </c>
      <c r="H94" s="7">
        <v>50</v>
      </c>
      <c r="I94" s="9">
        <f>VLOOKUP(F94,'controle saldo'!A$2:N$245,14,FALSE)</f>
        <v>1.07</v>
      </c>
      <c r="J94" s="10">
        <v>43241</v>
      </c>
      <c r="K94" s="6" t="s">
        <v>625</v>
      </c>
      <c r="L94" s="6">
        <v>50</v>
      </c>
      <c r="M94" s="11">
        <f t="shared" si="1"/>
        <v>53.5</v>
      </c>
      <c r="N94" s="12" t="s">
        <v>630</v>
      </c>
      <c r="O94" s="13" t="s">
        <v>631</v>
      </c>
      <c r="P94" s="6"/>
      <c r="Q94" s="6"/>
      <c r="R94" s="6" t="s">
        <v>603</v>
      </c>
    </row>
    <row r="95" spans="1:18" ht="63.75" x14ac:dyDescent="0.25">
      <c r="A95" s="13" t="s">
        <v>19</v>
      </c>
      <c r="B95" s="13" t="s">
        <v>20</v>
      </c>
      <c r="C95" s="10">
        <v>43259</v>
      </c>
      <c r="D95" s="6">
        <v>100070</v>
      </c>
      <c r="E95" s="6" t="str">
        <f>VLOOKUP(D95,'c.c'!A$1:B$343,2,FALSE)</f>
        <v>POSTO MÉDICO</v>
      </c>
      <c r="F95" s="7">
        <v>75</v>
      </c>
      <c r="G95" s="8" t="str">
        <f>VLOOKUP(F95,'controle saldo'!A$2:N$240,3,FALSE)</f>
        <v> ISOSSORBIDA, PRINCÍPIO ATIVO SAL DINITRATO, DOSAGEM 5 MG, TIPO MEDICAMENTO SUBLINGUAL</v>
      </c>
      <c r="H95" s="7">
        <v>50</v>
      </c>
      <c r="I95" s="9">
        <f>VLOOKUP(F95,'controle saldo'!A$2:N$245,14,FALSE)</f>
        <v>0.46</v>
      </c>
      <c r="J95" s="10">
        <v>43241</v>
      </c>
      <c r="K95" s="6" t="s">
        <v>625</v>
      </c>
      <c r="L95" s="6">
        <v>50</v>
      </c>
      <c r="M95" s="11">
        <f t="shared" si="1"/>
        <v>23</v>
      </c>
      <c r="N95" s="12" t="s">
        <v>630</v>
      </c>
      <c r="O95" s="13" t="s">
        <v>631</v>
      </c>
      <c r="P95" s="6"/>
      <c r="Q95" s="6"/>
      <c r="R95" s="6" t="s">
        <v>603</v>
      </c>
    </row>
    <row r="96" spans="1:18" ht="38.25" x14ac:dyDescent="0.25">
      <c r="A96" s="13" t="s">
        <v>19</v>
      </c>
      <c r="B96" s="13" t="s">
        <v>20</v>
      </c>
      <c r="C96" s="10">
        <v>43259</v>
      </c>
      <c r="D96" s="6">
        <v>100070</v>
      </c>
      <c r="E96" s="6" t="str">
        <f>VLOOKUP(D96,'c.c'!A$1:B$343,2,FALSE)</f>
        <v>POSTO MÉDICO</v>
      </c>
      <c r="F96" s="7">
        <v>78</v>
      </c>
      <c r="G96" s="8" t="str">
        <f>VLOOKUP(F96,'controle saldo'!A$2:N$240,3,FALSE)</f>
        <v>LIDOCAÍNA CLORIDRATO, DOSAGEM 2%, APRESENTAÇÃO INJETÁVEL</v>
      </c>
      <c r="H96" s="7">
        <v>100</v>
      </c>
      <c r="I96" s="9">
        <f>VLOOKUP(F96,'controle saldo'!A$2:N$245,14,FALSE)</f>
        <v>1.96</v>
      </c>
      <c r="J96" s="10">
        <v>43241</v>
      </c>
      <c r="K96" s="6" t="s">
        <v>625</v>
      </c>
      <c r="L96" s="6">
        <v>100</v>
      </c>
      <c r="M96" s="11">
        <f t="shared" si="1"/>
        <v>196</v>
      </c>
      <c r="N96" s="12" t="s">
        <v>630</v>
      </c>
      <c r="O96" s="13" t="s">
        <v>631</v>
      </c>
      <c r="P96" s="6"/>
      <c r="Q96" s="6"/>
      <c r="R96" s="6" t="s">
        <v>603</v>
      </c>
    </row>
    <row r="97" spans="1:18" ht="51" x14ac:dyDescent="0.25">
      <c r="A97" s="13" t="s">
        <v>19</v>
      </c>
      <c r="B97" s="13" t="s">
        <v>20</v>
      </c>
      <c r="C97" s="10">
        <v>43259</v>
      </c>
      <c r="D97" s="6">
        <v>100070</v>
      </c>
      <c r="E97" s="6" t="str">
        <f>VLOOKUP(D97,'c.c'!A$1:B$343,2,FALSE)</f>
        <v>POSTO MÉDICO</v>
      </c>
      <c r="F97" s="7">
        <v>83</v>
      </c>
      <c r="G97" s="8" t="str">
        <f>VLOOKUP(F97,'controle saldo'!A$2:N$240,3,FALSE)</f>
        <v>METOCLOPRAMIDA CLORIDRATO, DOSAGEM 5 MG/ML, APRESENTAÇÃO SOLUÇÃO INJETÁVEL</v>
      </c>
      <c r="H97" s="7">
        <v>600</v>
      </c>
      <c r="I97" s="9">
        <f>VLOOKUP(F97,'controle saldo'!A$2:N$245,14,FALSE)</f>
        <v>0.55000000000000004</v>
      </c>
      <c r="J97" s="10">
        <v>43241</v>
      </c>
      <c r="K97" s="6" t="s">
        <v>625</v>
      </c>
      <c r="L97" s="6">
        <v>600</v>
      </c>
      <c r="M97" s="11">
        <f t="shared" si="1"/>
        <v>330</v>
      </c>
      <c r="N97" s="12" t="s">
        <v>630</v>
      </c>
      <c r="O97" s="13" t="s">
        <v>631</v>
      </c>
      <c r="P97" s="6"/>
      <c r="Q97" s="6"/>
      <c r="R97" s="6" t="s">
        <v>603</v>
      </c>
    </row>
    <row r="98" spans="1:18" ht="63.75" x14ac:dyDescent="0.25">
      <c r="A98" s="13" t="s">
        <v>19</v>
      </c>
      <c r="B98" s="13" t="s">
        <v>20</v>
      </c>
      <c r="C98" s="10">
        <v>43259</v>
      </c>
      <c r="D98" s="6">
        <v>100070</v>
      </c>
      <c r="E98" s="6" t="str">
        <f>VLOOKUP(D98,'c.c'!A$1:B$343,2,FALSE)</f>
        <v>POSTO MÉDICO</v>
      </c>
      <c r="F98" s="7">
        <v>86</v>
      </c>
      <c r="G98" s="8" t="str">
        <f>VLOOKUP(F98,'controle saldo'!A$2:N$240,3,FALSE)</f>
        <v>MORFINA, APRESENTAÇÃO SULFATO, CONCENTRAÇÃO 10MG/ML, FORMA FARMACÊUTICA SOLUÇÃO INJETÁVEL</v>
      </c>
      <c r="H98" s="7">
        <v>20</v>
      </c>
      <c r="I98" s="9">
        <f>VLOOKUP(F98,'controle saldo'!A$2:N$245,14,FALSE)</f>
        <v>3.23</v>
      </c>
      <c r="J98" s="10">
        <v>43241</v>
      </c>
      <c r="K98" s="6" t="s">
        <v>625</v>
      </c>
      <c r="L98" s="6">
        <v>20</v>
      </c>
      <c r="M98" s="11">
        <f t="shared" si="1"/>
        <v>64.599999999999994</v>
      </c>
      <c r="N98" s="12" t="s">
        <v>630</v>
      </c>
      <c r="O98" s="13" t="s">
        <v>631</v>
      </c>
      <c r="P98" s="6"/>
      <c r="Q98" s="6"/>
      <c r="R98" s="6" t="s">
        <v>603</v>
      </c>
    </row>
    <row r="99" spans="1:18" ht="25.5" x14ac:dyDescent="0.25">
      <c r="A99" s="13" t="s">
        <v>19</v>
      </c>
      <c r="B99" s="13" t="s">
        <v>20</v>
      </c>
      <c r="C99" s="10">
        <v>43259</v>
      </c>
      <c r="D99" s="6">
        <v>100070</v>
      </c>
      <c r="E99" s="6" t="str">
        <f>VLOOKUP(D99,'c.c'!A$1:B$343,2,FALSE)</f>
        <v>POSTO MÉDICO</v>
      </c>
      <c r="F99" s="7">
        <v>92</v>
      </c>
      <c r="G99" s="8" t="str">
        <f>VLOOKUP(F99,'controle saldo'!A$2:N$240,3,FALSE)</f>
        <v>OMEPRAZOL, CONCENTRAÇÃO 20.</v>
      </c>
      <c r="H99" s="7">
        <v>7</v>
      </c>
      <c r="I99" s="9">
        <f>VLOOKUP(F99,'controle saldo'!A$2:N$245,14,FALSE)</f>
        <v>5.85</v>
      </c>
      <c r="J99" s="10">
        <v>43241</v>
      </c>
      <c r="K99" s="6" t="s">
        <v>625</v>
      </c>
      <c r="L99" s="6">
        <v>7</v>
      </c>
      <c r="M99" s="11">
        <f t="shared" si="1"/>
        <v>40.949999999999996</v>
      </c>
      <c r="N99" s="12" t="s">
        <v>630</v>
      </c>
      <c r="O99" s="13" t="s">
        <v>631</v>
      </c>
      <c r="P99" s="6"/>
      <c r="Q99" s="6"/>
      <c r="R99" s="6" t="s">
        <v>603</v>
      </c>
    </row>
    <row r="100" spans="1:18" ht="38.25" x14ac:dyDescent="0.25">
      <c r="A100" s="13" t="s">
        <v>19</v>
      </c>
      <c r="B100" s="13" t="s">
        <v>20</v>
      </c>
      <c r="C100" s="10">
        <v>43259</v>
      </c>
      <c r="D100" s="6">
        <v>100070</v>
      </c>
      <c r="E100" s="6" t="str">
        <f>VLOOKUP(D100,'c.c'!A$1:B$343,2,FALSE)</f>
        <v>POSTO MÉDICO</v>
      </c>
      <c r="F100" s="7">
        <v>96</v>
      </c>
      <c r="G100" s="8" t="str">
        <f>VLOOKUP(F100,'controle saldo'!A$2:N$240,3,FALSE)</f>
        <v>PENICILINA BENZATINA PRÉ DILUÍDA, FRASCO 600000UI. AMPOLA 4ML.</v>
      </c>
      <c r="H100" s="7">
        <v>50</v>
      </c>
      <c r="I100" s="9">
        <f>VLOOKUP(F100,'controle saldo'!A$2:N$245,14,FALSE)</f>
        <v>7.5</v>
      </c>
      <c r="J100" s="10">
        <v>43241</v>
      </c>
      <c r="K100" s="6" t="s">
        <v>625</v>
      </c>
      <c r="L100" s="6">
        <v>50</v>
      </c>
      <c r="M100" s="11">
        <f t="shared" si="1"/>
        <v>375</v>
      </c>
      <c r="N100" s="12" t="s">
        <v>630</v>
      </c>
      <c r="O100" s="13" t="s">
        <v>631</v>
      </c>
      <c r="P100" s="6"/>
      <c r="Q100" s="6"/>
      <c r="R100" s="6" t="s">
        <v>603</v>
      </c>
    </row>
    <row r="101" spans="1:18" ht="51" x14ac:dyDescent="0.25">
      <c r="A101" s="13" t="s">
        <v>19</v>
      </c>
      <c r="B101" s="13" t="s">
        <v>20</v>
      </c>
      <c r="C101" s="10">
        <v>43259</v>
      </c>
      <c r="D101" s="6">
        <v>100070</v>
      </c>
      <c r="E101" s="6" t="str">
        <f>VLOOKUP(D101,'c.c'!A$1:B$343,2,FALSE)</f>
        <v>POSTO MÉDICO</v>
      </c>
      <c r="F101" s="7">
        <v>100</v>
      </c>
      <c r="G101" s="8" t="str">
        <f>VLOOKUP(F101,'controle saldo'!A$2:N$240,3,FALSE)</f>
        <v>PROMETAZINA CLORIDRATO, DOSAGEM 25 MG/ML, APRESENTAÇÃO SOLUÇÃO INJETÁVEL</v>
      </c>
      <c r="H101" s="7">
        <v>300</v>
      </c>
      <c r="I101" s="9">
        <f>VLOOKUP(F101,'controle saldo'!A$2:N$245,14,FALSE)</f>
        <v>2.2999999999999998</v>
      </c>
      <c r="J101" s="10">
        <v>43241</v>
      </c>
      <c r="K101" s="6" t="s">
        <v>625</v>
      </c>
      <c r="L101" s="6">
        <v>300</v>
      </c>
      <c r="M101" s="11">
        <f t="shared" si="1"/>
        <v>690</v>
      </c>
      <c r="N101" s="12" t="s">
        <v>630</v>
      </c>
      <c r="O101" s="13" t="s">
        <v>631</v>
      </c>
      <c r="P101" s="6"/>
      <c r="Q101" s="6"/>
      <c r="R101" s="6" t="s">
        <v>603</v>
      </c>
    </row>
    <row r="102" spans="1:18" ht="38.25" x14ac:dyDescent="0.25">
      <c r="A102" s="13" t="s">
        <v>19</v>
      </c>
      <c r="B102" s="13" t="s">
        <v>20</v>
      </c>
      <c r="C102" s="10">
        <v>43259</v>
      </c>
      <c r="D102" s="6">
        <v>100070</v>
      </c>
      <c r="E102" s="6" t="str">
        <f>VLOOKUP(D102,'c.c'!A$1:B$343,2,FALSE)</f>
        <v>POSTO MÉDICO</v>
      </c>
      <c r="F102" s="7">
        <v>103</v>
      </c>
      <c r="G102" s="8" t="str">
        <f>VLOOKUP(F102,'controle saldo'!A$2:N$240,3,FALSE)</f>
        <v>RANITIDINA CLORIDRATO, DOSAGEM 25 MG/ML, TIPO SOLUÇÃO INJETÁVEL</v>
      </c>
      <c r="H102" s="7">
        <v>200</v>
      </c>
      <c r="I102" s="9">
        <f>VLOOKUP(F102,'controle saldo'!A$2:N$245,14,FALSE)</f>
        <v>1.25</v>
      </c>
      <c r="J102" s="10">
        <v>43241</v>
      </c>
      <c r="K102" s="6" t="s">
        <v>625</v>
      </c>
      <c r="L102" s="6">
        <v>200</v>
      </c>
      <c r="M102" s="11">
        <f t="shared" si="1"/>
        <v>250</v>
      </c>
      <c r="N102" s="12" t="s">
        <v>630</v>
      </c>
      <c r="O102" s="13" t="s">
        <v>631</v>
      </c>
      <c r="P102" s="6"/>
      <c r="Q102" s="6"/>
      <c r="R102" s="6" t="s">
        <v>603</v>
      </c>
    </row>
    <row r="103" spans="1:18" ht="38.25" x14ac:dyDescent="0.25">
      <c r="A103" s="13" t="s">
        <v>19</v>
      </c>
      <c r="B103" s="13" t="s">
        <v>20</v>
      </c>
      <c r="C103" s="10">
        <v>43259</v>
      </c>
      <c r="D103" s="6">
        <v>100070</v>
      </c>
      <c r="E103" s="6" t="str">
        <f>VLOOKUP(D103,'c.c'!A$1:B$343,2,FALSE)</f>
        <v>POSTO MÉDICO</v>
      </c>
      <c r="F103" s="7">
        <v>108</v>
      </c>
      <c r="G103" s="8" t="str">
        <f>VLOOKUP(F103,'controle saldo'!A$2:N$240,3,FALSE)</f>
        <v>SULFADIAZINA, PRINCÍPIO ATIVO DE PRATA, DOSAGEM 1%, INDICAÇÃO CREME</v>
      </c>
      <c r="H103" s="7">
        <v>30</v>
      </c>
      <c r="I103" s="9">
        <f>VLOOKUP(F103,'controle saldo'!A$2:N$245,14,FALSE)</f>
        <v>5.04</v>
      </c>
      <c r="J103" s="10">
        <v>43241</v>
      </c>
      <c r="K103" s="6" t="s">
        <v>625</v>
      </c>
      <c r="L103" s="6">
        <v>30</v>
      </c>
      <c r="M103" s="11">
        <f t="shared" si="1"/>
        <v>151.19999999999999</v>
      </c>
      <c r="N103" s="12" t="s">
        <v>630</v>
      </c>
      <c r="O103" s="13" t="s">
        <v>631</v>
      </c>
      <c r="P103" s="6"/>
      <c r="Q103" s="6"/>
      <c r="R103" s="6" t="s">
        <v>603</v>
      </c>
    </row>
    <row r="104" spans="1:18" ht="25.5" x14ac:dyDescent="0.25">
      <c r="A104" s="13" t="s">
        <v>19</v>
      </c>
      <c r="B104" s="13" t="s">
        <v>20</v>
      </c>
      <c r="C104" s="10">
        <v>43259</v>
      </c>
      <c r="D104" s="6">
        <v>100070</v>
      </c>
      <c r="E104" s="6" t="str">
        <f>VLOOKUP(D104,'c.c'!A$1:B$343,2,FALSE)</f>
        <v>POSTO MÉDICO</v>
      </c>
      <c r="F104" s="7">
        <v>117</v>
      </c>
      <c r="G104" s="8" t="str">
        <f>VLOOKUP(F104,'controle saldo'!A$2:N$240,3,FALSE)</f>
        <v>TRAMADOL CLORIDRATO, DOSAGEM 50 MG</v>
      </c>
      <c r="H104" s="7">
        <v>50</v>
      </c>
      <c r="I104" s="9">
        <f>VLOOKUP(F104,'controle saldo'!A$2:N$245,14,FALSE)</f>
        <v>2.44</v>
      </c>
      <c r="J104" s="10">
        <v>43241</v>
      </c>
      <c r="K104" s="6" t="s">
        <v>625</v>
      </c>
      <c r="L104" s="6">
        <v>50</v>
      </c>
      <c r="M104" s="11">
        <f t="shared" si="1"/>
        <v>122</v>
      </c>
      <c r="N104" s="12" t="s">
        <v>630</v>
      </c>
      <c r="O104" s="13" t="s">
        <v>631</v>
      </c>
      <c r="P104" s="6"/>
      <c r="Q104" s="6"/>
      <c r="R104" s="6" t="s">
        <v>603</v>
      </c>
    </row>
    <row r="105" spans="1:18" ht="51" x14ac:dyDescent="0.25">
      <c r="A105" s="13" t="s">
        <v>19</v>
      </c>
      <c r="B105" s="13" t="s">
        <v>20</v>
      </c>
      <c r="C105" s="10">
        <v>43259</v>
      </c>
      <c r="D105" s="6">
        <v>100070</v>
      </c>
      <c r="E105" s="6" t="str">
        <f>VLOOKUP(D105,'c.c'!A$1:B$343,2,FALSE)</f>
        <v>POSTO MÉDICO</v>
      </c>
      <c r="F105" s="7">
        <v>121</v>
      </c>
      <c r="G105" s="8" t="str">
        <f>VLOOKUP(F105,'controle saldo'!A$2:N$240,3,FALSE)</f>
        <v>SALBUTAMOL, DOSAGEM 100MCG/DOSE, FORMA FARMACÊUTICA AEROSOL ORAL</v>
      </c>
      <c r="H105" s="7">
        <v>10</v>
      </c>
      <c r="I105" s="9">
        <f>VLOOKUP(F105,'controle saldo'!A$2:N$245,14,FALSE)</f>
        <v>12.5</v>
      </c>
      <c r="J105" s="10">
        <v>43241</v>
      </c>
      <c r="K105" s="6" t="s">
        <v>625</v>
      </c>
      <c r="L105" s="6">
        <v>10</v>
      </c>
      <c r="M105" s="11">
        <f t="shared" si="1"/>
        <v>125</v>
      </c>
      <c r="N105" s="12" t="s">
        <v>630</v>
      </c>
      <c r="O105" s="13" t="s">
        <v>631</v>
      </c>
      <c r="P105" s="6"/>
      <c r="Q105" s="6"/>
      <c r="R105" s="6" t="s">
        <v>603</v>
      </c>
    </row>
    <row r="106" spans="1:18" x14ac:dyDescent="0.25">
      <c r="A106" s="13" t="s">
        <v>19</v>
      </c>
      <c r="B106" s="13" t="s">
        <v>20</v>
      </c>
      <c r="C106" s="10">
        <v>43259</v>
      </c>
      <c r="D106" s="6"/>
      <c r="E106" s="6" t="e">
        <f>VLOOKUP(D106,'c.c'!A$1:B$343,2,FALSE)</f>
        <v>#N/A</v>
      </c>
      <c r="F106" s="7"/>
      <c r="G106" s="8" t="e">
        <f>VLOOKUP(F106,'controle saldo'!A$2:N$240,3,FALSE)</f>
        <v>#N/A</v>
      </c>
      <c r="H106" s="7"/>
      <c r="I106" s="9" t="e">
        <f>VLOOKUP(F106,'controle saldo'!A$2:N$245,14,FALSE)</f>
        <v>#N/A</v>
      </c>
      <c r="J106" s="10"/>
      <c r="K106" s="6"/>
      <c r="L106" s="6"/>
      <c r="M106" s="11" t="e">
        <f t="shared" si="1"/>
        <v>#N/A</v>
      </c>
      <c r="N106" s="12"/>
      <c r="O106" s="13"/>
      <c r="P106" s="6"/>
      <c r="Q106" s="6"/>
      <c r="R106" s="6"/>
    </row>
    <row r="107" spans="1:18" x14ac:dyDescent="0.25">
      <c r="A107" s="13" t="s">
        <v>19</v>
      </c>
      <c r="B107" s="13" t="s">
        <v>20</v>
      </c>
      <c r="C107" s="10">
        <v>43259</v>
      </c>
      <c r="D107" s="6"/>
      <c r="E107" s="6" t="e">
        <f>VLOOKUP(D107,'c.c'!A$1:B$343,2,FALSE)</f>
        <v>#N/A</v>
      </c>
      <c r="F107" s="7"/>
      <c r="G107" s="8" t="e">
        <f>VLOOKUP(F107,'controle saldo'!A$2:N$240,3,FALSE)</f>
        <v>#N/A</v>
      </c>
      <c r="H107" s="7"/>
      <c r="I107" s="9" t="e">
        <f>VLOOKUP(F107,'controle saldo'!A$2:N$245,14,FALSE)</f>
        <v>#N/A</v>
      </c>
      <c r="J107" s="10"/>
      <c r="K107" s="6"/>
      <c r="L107" s="6"/>
      <c r="M107" s="11" t="e">
        <f t="shared" si="1"/>
        <v>#N/A</v>
      </c>
      <c r="N107" s="12"/>
      <c r="O107" s="13"/>
      <c r="P107" s="6"/>
      <c r="Q107" s="6"/>
      <c r="R107" s="6"/>
    </row>
    <row r="108" spans="1:18" x14ac:dyDescent="0.25">
      <c r="A108" s="13" t="s">
        <v>19</v>
      </c>
      <c r="B108" s="13" t="s">
        <v>20</v>
      </c>
      <c r="C108" s="10">
        <v>43259</v>
      </c>
      <c r="D108" s="6"/>
      <c r="E108" s="6" t="e">
        <f>VLOOKUP(D108,'c.c'!A$1:B$343,2,FALSE)</f>
        <v>#N/A</v>
      </c>
      <c r="F108" s="7"/>
      <c r="G108" s="8" t="e">
        <f>VLOOKUP(F108,'controle saldo'!A$2:N$240,3,FALSE)</f>
        <v>#N/A</v>
      </c>
      <c r="H108" s="7"/>
      <c r="I108" s="9" t="e">
        <f>VLOOKUP(F108,'controle saldo'!A$2:N$245,14,FALSE)</f>
        <v>#N/A</v>
      </c>
      <c r="J108" s="10"/>
      <c r="K108" s="6"/>
      <c r="L108" s="6"/>
      <c r="M108" s="11" t="e">
        <f t="shared" si="1"/>
        <v>#N/A</v>
      </c>
      <c r="N108" s="12"/>
      <c r="O108" s="13"/>
      <c r="P108" s="6"/>
      <c r="Q108" s="6"/>
      <c r="R108" s="6"/>
    </row>
    <row r="109" spans="1:18" x14ac:dyDescent="0.25">
      <c r="A109" s="13" t="s">
        <v>19</v>
      </c>
      <c r="B109" s="13" t="s">
        <v>20</v>
      </c>
      <c r="C109" s="10">
        <v>43259</v>
      </c>
      <c r="D109" s="6"/>
      <c r="E109" s="6" t="e">
        <f>VLOOKUP(D109,'c.c'!A$1:B$343,2,FALSE)</f>
        <v>#N/A</v>
      </c>
      <c r="F109" s="7"/>
      <c r="G109" s="8" t="e">
        <f>VLOOKUP(F109,'controle saldo'!A$2:N$240,3,FALSE)</f>
        <v>#N/A</v>
      </c>
      <c r="H109" s="7"/>
      <c r="I109" s="9" t="e">
        <f>VLOOKUP(F109,'controle saldo'!A$2:N$245,14,FALSE)</f>
        <v>#N/A</v>
      </c>
      <c r="J109" s="10"/>
      <c r="K109" s="6"/>
      <c r="L109" s="6"/>
      <c r="M109" s="11" t="e">
        <f t="shared" si="1"/>
        <v>#N/A</v>
      </c>
      <c r="N109" s="12"/>
      <c r="O109" s="13"/>
      <c r="P109" s="6"/>
      <c r="Q109" s="6"/>
      <c r="R109" s="6"/>
    </row>
    <row r="110" spans="1:18" x14ac:dyDescent="0.25">
      <c r="A110" s="13" t="s">
        <v>19</v>
      </c>
      <c r="B110" s="13" t="s">
        <v>20</v>
      </c>
      <c r="C110" s="10">
        <v>43259</v>
      </c>
      <c r="D110" s="6"/>
      <c r="E110" s="6" t="e">
        <f>VLOOKUP(D110,'c.c'!A$1:B$343,2,FALSE)</f>
        <v>#N/A</v>
      </c>
      <c r="F110" s="7"/>
      <c r="G110" s="8" t="e">
        <f>VLOOKUP(F110,'controle saldo'!A$2:N$240,3,FALSE)</f>
        <v>#N/A</v>
      </c>
      <c r="H110" s="7"/>
      <c r="I110" s="9" t="e">
        <f>VLOOKUP(F110,'controle saldo'!A$2:N$245,14,FALSE)</f>
        <v>#N/A</v>
      </c>
      <c r="J110" s="10"/>
      <c r="K110" s="6"/>
      <c r="L110" s="6"/>
      <c r="M110" s="11" t="e">
        <f t="shared" si="1"/>
        <v>#N/A</v>
      </c>
      <c r="N110" s="12"/>
      <c r="O110" s="13"/>
      <c r="P110" s="6"/>
      <c r="Q110" s="6"/>
      <c r="R110" s="6"/>
    </row>
    <row r="111" spans="1:18" x14ac:dyDescent="0.25">
      <c r="A111" s="13" t="s">
        <v>19</v>
      </c>
      <c r="B111" s="13" t="s">
        <v>20</v>
      </c>
      <c r="C111" s="10">
        <v>43259</v>
      </c>
      <c r="D111" s="6"/>
      <c r="E111" s="6" t="e">
        <f>VLOOKUP(D111,'c.c'!A$1:B$343,2,FALSE)</f>
        <v>#N/A</v>
      </c>
      <c r="F111" s="7"/>
      <c r="G111" s="8" t="e">
        <f>VLOOKUP(F111,'controle saldo'!A$2:N$240,3,FALSE)</f>
        <v>#N/A</v>
      </c>
      <c r="H111" s="7"/>
      <c r="I111" s="9" t="e">
        <f>VLOOKUP(F111,'controle saldo'!A$2:N$245,14,FALSE)</f>
        <v>#N/A</v>
      </c>
      <c r="J111" s="10"/>
      <c r="K111" s="6"/>
      <c r="L111" s="6"/>
      <c r="M111" s="11" t="e">
        <f t="shared" si="1"/>
        <v>#N/A</v>
      </c>
      <c r="N111" s="12"/>
      <c r="O111" s="13"/>
      <c r="P111" s="6"/>
      <c r="Q111" s="6"/>
      <c r="R111" s="6"/>
    </row>
    <row r="112" spans="1:18" x14ac:dyDescent="0.25">
      <c r="A112" s="13" t="s">
        <v>19</v>
      </c>
      <c r="B112" s="13" t="s">
        <v>20</v>
      </c>
      <c r="C112" s="10">
        <v>43259</v>
      </c>
      <c r="D112" s="6"/>
      <c r="E112" s="6" t="e">
        <f>VLOOKUP(D112,'c.c'!A$1:B$343,2,FALSE)</f>
        <v>#N/A</v>
      </c>
      <c r="F112" s="7"/>
      <c r="G112" s="8" t="e">
        <f>VLOOKUP(F112,'controle saldo'!A$2:N$240,3,FALSE)</f>
        <v>#N/A</v>
      </c>
      <c r="H112" s="7"/>
      <c r="I112" s="9" t="e">
        <f>VLOOKUP(F112,'controle saldo'!A$2:N$245,14,FALSE)</f>
        <v>#N/A</v>
      </c>
      <c r="J112" s="10"/>
      <c r="K112" s="6"/>
      <c r="L112" s="6"/>
      <c r="M112" s="11" t="e">
        <f t="shared" si="1"/>
        <v>#N/A</v>
      </c>
      <c r="N112" s="12"/>
      <c r="O112" s="13"/>
      <c r="P112" s="6"/>
      <c r="Q112" s="6"/>
      <c r="R112" s="6"/>
    </row>
    <row r="113" spans="1:18" x14ac:dyDescent="0.25">
      <c r="A113" s="13" t="s">
        <v>19</v>
      </c>
      <c r="B113" s="13" t="s">
        <v>20</v>
      </c>
      <c r="C113" s="10">
        <v>43259</v>
      </c>
      <c r="D113" s="6"/>
      <c r="E113" s="6" t="e">
        <f>VLOOKUP(D113,'c.c'!A$1:B$343,2,FALSE)</f>
        <v>#N/A</v>
      </c>
      <c r="F113" s="7"/>
      <c r="G113" s="8" t="e">
        <f>VLOOKUP(F113,'controle saldo'!A$2:N$240,3,FALSE)</f>
        <v>#N/A</v>
      </c>
      <c r="H113" s="7"/>
      <c r="I113" s="9" t="e">
        <f>VLOOKUP(F113,'controle saldo'!A$2:N$245,14,FALSE)</f>
        <v>#N/A</v>
      </c>
      <c r="J113" s="10"/>
      <c r="K113" s="6"/>
      <c r="L113" s="6"/>
      <c r="M113" s="11" t="e">
        <f t="shared" si="1"/>
        <v>#N/A</v>
      </c>
      <c r="N113" s="12"/>
      <c r="O113" s="13"/>
      <c r="P113" s="6"/>
      <c r="Q113" s="6"/>
      <c r="R113" s="6"/>
    </row>
    <row r="114" spans="1:18" x14ac:dyDescent="0.25">
      <c r="A114" s="13" t="s">
        <v>19</v>
      </c>
      <c r="B114" s="13" t="s">
        <v>20</v>
      </c>
      <c r="C114" s="10">
        <v>43259</v>
      </c>
      <c r="D114" s="6"/>
      <c r="E114" s="6" t="e">
        <f>VLOOKUP(D114,'c.c'!A$1:B$343,2,FALSE)</f>
        <v>#N/A</v>
      </c>
      <c r="F114" s="7"/>
      <c r="G114" s="8" t="e">
        <f>VLOOKUP(F114,'controle saldo'!A$2:N$240,3,FALSE)</f>
        <v>#N/A</v>
      </c>
      <c r="H114" s="7"/>
      <c r="I114" s="9" t="e">
        <f>VLOOKUP(F114,'controle saldo'!A$2:N$245,14,FALSE)</f>
        <v>#N/A</v>
      </c>
      <c r="J114" s="10"/>
      <c r="K114" s="6"/>
      <c r="L114" s="6"/>
      <c r="M114" s="11" t="e">
        <f t="shared" si="1"/>
        <v>#N/A</v>
      </c>
      <c r="N114" s="12"/>
      <c r="O114" s="13"/>
      <c r="P114" s="6"/>
      <c r="Q114" s="6"/>
      <c r="R114" s="6"/>
    </row>
    <row r="115" spans="1:18" x14ac:dyDescent="0.25">
      <c r="A115" s="13" t="s">
        <v>19</v>
      </c>
      <c r="B115" s="13" t="s">
        <v>20</v>
      </c>
      <c r="C115" s="10">
        <v>43259</v>
      </c>
      <c r="D115" s="6"/>
      <c r="E115" s="6" t="e">
        <f>VLOOKUP(D115,'c.c'!A$1:B$343,2,FALSE)</f>
        <v>#N/A</v>
      </c>
      <c r="F115" s="7"/>
      <c r="G115" s="8" t="e">
        <f>VLOOKUP(F115,'controle saldo'!A$2:N$240,3,FALSE)</f>
        <v>#N/A</v>
      </c>
      <c r="H115" s="7"/>
      <c r="I115" s="9" t="e">
        <f>VLOOKUP(F115,'controle saldo'!A$2:N$245,14,FALSE)</f>
        <v>#N/A</v>
      </c>
      <c r="J115" s="10"/>
      <c r="K115" s="6"/>
      <c r="L115" s="6"/>
      <c r="M115" s="11" t="e">
        <f t="shared" si="1"/>
        <v>#N/A</v>
      </c>
      <c r="N115" s="12"/>
      <c r="O115" s="13"/>
      <c r="P115" s="6"/>
      <c r="Q115" s="6"/>
      <c r="R115" s="6"/>
    </row>
    <row r="116" spans="1:18" x14ac:dyDescent="0.25">
      <c r="A116" s="13" t="s">
        <v>19</v>
      </c>
      <c r="B116" s="13" t="s">
        <v>20</v>
      </c>
      <c r="C116" s="10">
        <v>43259</v>
      </c>
      <c r="D116" s="6"/>
      <c r="E116" s="6" t="e">
        <f>VLOOKUP(D116,'c.c'!A$1:B$343,2,FALSE)</f>
        <v>#N/A</v>
      </c>
      <c r="F116" s="7"/>
      <c r="G116" s="8" t="e">
        <f>VLOOKUP(F116,'controle saldo'!A$2:N$240,3,FALSE)</f>
        <v>#N/A</v>
      </c>
      <c r="H116" s="7"/>
      <c r="I116" s="9" t="e">
        <f>VLOOKUP(F116,'controle saldo'!A$2:N$245,14,FALSE)</f>
        <v>#N/A</v>
      </c>
      <c r="J116" s="10"/>
      <c r="K116" s="6"/>
      <c r="L116" s="6"/>
      <c r="M116" s="11" t="e">
        <f t="shared" si="1"/>
        <v>#N/A</v>
      </c>
      <c r="N116" s="12"/>
      <c r="O116" s="13"/>
      <c r="P116" s="6"/>
      <c r="Q116" s="6"/>
      <c r="R116" s="6"/>
    </row>
    <row r="117" spans="1:18" x14ac:dyDescent="0.25">
      <c r="A117" s="13" t="s">
        <v>19</v>
      </c>
      <c r="B117" s="13" t="s">
        <v>20</v>
      </c>
      <c r="C117" s="10">
        <v>43259</v>
      </c>
      <c r="D117" s="6"/>
      <c r="E117" s="6" t="e">
        <f>VLOOKUP(D117,'c.c'!A$1:B$343,2,FALSE)</f>
        <v>#N/A</v>
      </c>
      <c r="F117" s="7"/>
      <c r="G117" s="8" t="e">
        <f>VLOOKUP(F117,'controle saldo'!A$2:N$240,3,FALSE)</f>
        <v>#N/A</v>
      </c>
      <c r="H117" s="7"/>
      <c r="I117" s="9" t="e">
        <f>VLOOKUP(F117,'controle saldo'!A$2:N$245,14,FALSE)</f>
        <v>#N/A</v>
      </c>
      <c r="J117" s="10"/>
      <c r="K117" s="6"/>
      <c r="L117" s="6"/>
      <c r="M117" s="11" t="e">
        <f t="shared" si="1"/>
        <v>#N/A</v>
      </c>
      <c r="N117" s="12"/>
      <c r="O117" s="13"/>
      <c r="P117" s="6"/>
      <c r="Q117" s="6"/>
      <c r="R117" s="6"/>
    </row>
    <row r="118" spans="1:18" x14ac:dyDescent="0.25">
      <c r="A118" s="13" t="s">
        <v>19</v>
      </c>
      <c r="B118" s="13" t="s">
        <v>20</v>
      </c>
      <c r="C118" s="10">
        <v>43259</v>
      </c>
      <c r="D118" s="6"/>
      <c r="E118" s="6" t="e">
        <f>VLOOKUP(D118,'c.c'!A$1:B$343,2,FALSE)</f>
        <v>#N/A</v>
      </c>
      <c r="F118" s="7"/>
      <c r="G118" s="8" t="e">
        <f>VLOOKUP(F118,'controle saldo'!A$2:N$240,3,FALSE)</f>
        <v>#N/A</v>
      </c>
      <c r="H118" s="7"/>
      <c r="I118" s="9" t="e">
        <f>VLOOKUP(F118,'controle saldo'!A$2:N$245,14,FALSE)</f>
        <v>#N/A</v>
      </c>
      <c r="J118" s="10"/>
      <c r="K118" s="6"/>
      <c r="L118" s="6"/>
      <c r="M118" s="11" t="e">
        <f t="shared" si="1"/>
        <v>#N/A</v>
      </c>
      <c r="N118" s="12"/>
      <c r="O118" s="13"/>
      <c r="P118" s="6"/>
      <c r="Q118" s="6"/>
      <c r="R118" s="6"/>
    </row>
    <row r="119" spans="1:18" x14ac:dyDescent="0.25">
      <c r="A119" s="13" t="s">
        <v>19</v>
      </c>
      <c r="B119" s="13" t="s">
        <v>20</v>
      </c>
      <c r="C119" s="10">
        <v>43259</v>
      </c>
      <c r="D119" s="6"/>
      <c r="E119" s="6" t="e">
        <f>VLOOKUP(D119,'c.c'!A$1:B$343,2,FALSE)</f>
        <v>#N/A</v>
      </c>
      <c r="F119" s="7"/>
      <c r="G119" s="8" t="e">
        <f>VLOOKUP(F119,'controle saldo'!A$2:N$240,3,FALSE)</f>
        <v>#N/A</v>
      </c>
      <c r="H119" s="7"/>
      <c r="I119" s="9" t="e">
        <f>VLOOKUP(F119,'controle saldo'!A$2:N$245,14,FALSE)</f>
        <v>#N/A</v>
      </c>
      <c r="J119" s="10"/>
      <c r="K119" s="6"/>
      <c r="L119" s="6"/>
      <c r="M119" s="11" t="e">
        <f t="shared" si="1"/>
        <v>#N/A</v>
      </c>
      <c r="N119" s="12"/>
      <c r="O119" s="13"/>
      <c r="P119" s="6"/>
      <c r="Q119" s="6"/>
      <c r="R119" s="6"/>
    </row>
    <row r="120" spans="1:18" x14ac:dyDescent="0.25">
      <c r="A120" s="13" t="s">
        <v>19</v>
      </c>
      <c r="B120" s="13" t="s">
        <v>20</v>
      </c>
      <c r="C120" s="10">
        <v>43259</v>
      </c>
      <c r="D120" s="6"/>
      <c r="E120" s="6" t="e">
        <f>VLOOKUP(D120,'c.c'!A$1:B$343,2,FALSE)</f>
        <v>#N/A</v>
      </c>
      <c r="F120" s="7"/>
      <c r="G120" s="8" t="e">
        <f>VLOOKUP(F120,'controle saldo'!A$2:N$240,3,FALSE)</f>
        <v>#N/A</v>
      </c>
      <c r="H120" s="7"/>
      <c r="I120" s="9" t="e">
        <f>VLOOKUP(F120,'controle saldo'!A$2:N$245,14,FALSE)</f>
        <v>#N/A</v>
      </c>
      <c r="J120" s="10"/>
      <c r="K120" s="6"/>
      <c r="L120" s="6"/>
      <c r="M120" s="11" t="e">
        <f t="shared" si="1"/>
        <v>#N/A</v>
      </c>
      <c r="N120" s="12"/>
      <c r="O120" s="13"/>
      <c r="P120" s="6"/>
      <c r="Q120" s="6"/>
      <c r="R120" s="6"/>
    </row>
    <row r="121" spans="1:18" x14ac:dyDescent="0.25">
      <c r="A121" s="13" t="s">
        <v>19</v>
      </c>
      <c r="B121" s="13" t="s">
        <v>20</v>
      </c>
      <c r="C121" s="10">
        <v>43259</v>
      </c>
      <c r="D121" s="6"/>
      <c r="E121" s="6" t="e">
        <f>VLOOKUP(D121,'c.c'!A$1:B$343,2,FALSE)</f>
        <v>#N/A</v>
      </c>
      <c r="F121" s="7"/>
      <c r="G121" s="8" t="e">
        <f>VLOOKUP(F121,'controle saldo'!A$2:N$240,3,FALSE)</f>
        <v>#N/A</v>
      </c>
      <c r="H121" s="7"/>
      <c r="I121" s="9" t="e">
        <f>VLOOKUP(F121,'controle saldo'!A$2:N$245,14,FALSE)</f>
        <v>#N/A</v>
      </c>
      <c r="J121" s="10"/>
      <c r="K121" s="6"/>
      <c r="L121" s="6"/>
      <c r="M121" s="11" t="e">
        <f t="shared" si="1"/>
        <v>#N/A</v>
      </c>
      <c r="N121" s="12"/>
      <c r="O121" s="13"/>
      <c r="P121" s="6"/>
      <c r="Q121" s="6"/>
      <c r="R121" s="6"/>
    </row>
    <row r="122" spans="1:18" x14ac:dyDescent="0.25">
      <c r="A122" s="13" t="s">
        <v>19</v>
      </c>
      <c r="B122" s="13" t="s">
        <v>20</v>
      </c>
      <c r="C122" s="10">
        <v>43259</v>
      </c>
      <c r="D122" s="6"/>
      <c r="E122" s="6" t="e">
        <f>VLOOKUP(D122,'c.c'!A$1:B$343,2,FALSE)</f>
        <v>#N/A</v>
      </c>
      <c r="F122" s="7"/>
      <c r="G122" s="8" t="e">
        <f>VLOOKUP(F122,'controle saldo'!A$2:N$240,3,FALSE)</f>
        <v>#N/A</v>
      </c>
      <c r="H122" s="7"/>
      <c r="I122" s="9" t="e">
        <f>VLOOKUP(F122,'controle saldo'!A$2:N$245,14,FALSE)</f>
        <v>#N/A</v>
      </c>
      <c r="J122" s="10"/>
      <c r="K122" s="6"/>
      <c r="L122" s="6"/>
      <c r="M122" s="11" t="e">
        <f t="shared" si="1"/>
        <v>#N/A</v>
      </c>
      <c r="N122" s="12"/>
      <c r="O122" s="13"/>
      <c r="P122" s="6"/>
      <c r="Q122" s="6"/>
      <c r="R122" s="6"/>
    </row>
    <row r="123" spans="1:18" x14ac:dyDescent="0.25">
      <c r="A123" s="13" t="s">
        <v>19</v>
      </c>
      <c r="B123" s="13" t="s">
        <v>20</v>
      </c>
      <c r="C123" s="10">
        <v>43259</v>
      </c>
      <c r="D123" s="6"/>
      <c r="E123" s="6" t="e">
        <f>VLOOKUP(D123,'c.c'!A$1:B$343,2,FALSE)</f>
        <v>#N/A</v>
      </c>
      <c r="F123" s="7"/>
      <c r="G123" s="8" t="e">
        <f>VLOOKUP(F123,'controle saldo'!A$2:N$240,3,FALSE)</f>
        <v>#N/A</v>
      </c>
      <c r="H123" s="7"/>
      <c r="I123" s="9" t="e">
        <f>VLOOKUP(F123,'controle saldo'!A$2:N$245,14,FALSE)</f>
        <v>#N/A</v>
      </c>
      <c r="J123" s="10"/>
      <c r="K123" s="6"/>
      <c r="L123" s="6"/>
      <c r="M123" s="11" t="e">
        <f t="shared" si="1"/>
        <v>#N/A</v>
      </c>
      <c r="N123" s="12"/>
      <c r="O123" s="13"/>
      <c r="P123" s="6"/>
      <c r="Q123" s="6"/>
      <c r="R123" s="6"/>
    </row>
    <row r="124" spans="1:18" x14ac:dyDescent="0.25">
      <c r="A124" s="13" t="s">
        <v>19</v>
      </c>
      <c r="B124" s="13" t="s">
        <v>20</v>
      </c>
      <c r="C124" s="10">
        <v>43259</v>
      </c>
      <c r="D124" s="6"/>
      <c r="E124" s="6" t="e">
        <f>VLOOKUP(D124,'c.c'!A$1:B$343,2,FALSE)</f>
        <v>#N/A</v>
      </c>
      <c r="F124" s="7"/>
      <c r="G124" s="8" t="e">
        <f>VLOOKUP(F124,'controle saldo'!A$2:N$240,3,FALSE)</f>
        <v>#N/A</v>
      </c>
      <c r="H124" s="7"/>
      <c r="I124" s="9" t="e">
        <f>VLOOKUP(F124,'controle saldo'!A$2:N$245,14,FALSE)</f>
        <v>#N/A</v>
      </c>
      <c r="J124" s="10"/>
      <c r="K124" s="6"/>
      <c r="L124" s="6"/>
      <c r="M124" s="11" t="e">
        <f t="shared" si="1"/>
        <v>#N/A</v>
      </c>
      <c r="N124" s="12"/>
      <c r="O124" s="13"/>
      <c r="P124" s="6"/>
      <c r="Q124" s="6"/>
      <c r="R124" s="6"/>
    </row>
    <row r="125" spans="1:18" x14ac:dyDescent="0.25">
      <c r="A125" s="13" t="s">
        <v>19</v>
      </c>
      <c r="B125" s="13" t="s">
        <v>20</v>
      </c>
      <c r="C125" s="10">
        <v>43259</v>
      </c>
      <c r="D125" s="6"/>
      <c r="E125" s="6" t="e">
        <f>VLOOKUP(D125,'c.c'!A$1:B$343,2,FALSE)</f>
        <v>#N/A</v>
      </c>
      <c r="F125" s="7"/>
      <c r="G125" s="8" t="e">
        <f>VLOOKUP(F125,'controle saldo'!A$2:N$240,3,FALSE)</f>
        <v>#N/A</v>
      </c>
      <c r="H125" s="7"/>
      <c r="I125" s="9" t="e">
        <f>VLOOKUP(F125,'controle saldo'!A$2:N$245,14,FALSE)</f>
        <v>#N/A</v>
      </c>
      <c r="J125" s="10"/>
      <c r="K125" s="6"/>
      <c r="L125" s="6"/>
      <c r="M125" s="11" t="e">
        <f t="shared" si="1"/>
        <v>#N/A</v>
      </c>
      <c r="N125" s="12"/>
      <c r="O125" s="13"/>
      <c r="P125" s="6"/>
      <c r="Q125" s="6"/>
      <c r="R125" s="6"/>
    </row>
    <row r="126" spans="1:18" x14ac:dyDescent="0.25">
      <c r="A126" s="13" t="s">
        <v>19</v>
      </c>
      <c r="B126" s="13" t="s">
        <v>20</v>
      </c>
      <c r="C126" s="10">
        <v>43259</v>
      </c>
      <c r="D126" s="6"/>
      <c r="E126" s="6" t="e">
        <f>VLOOKUP(D126,'c.c'!A$1:B$343,2,FALSE)</f>
        <v>#N/A</v>
      </c>
      <c r="F126" s="7"/>
      <c r="G126" s="8" t="e">
        <f>VLOOKUP(F126,'controle saldo'!A$2:N$240,3,FALSE)</f>
        <v>#N/A</v>
      </c>
      <c r="H126" s="7"/>
      <c r="I126" s="9" t="e">
        <f>VLOOKUP(F126,'controle saldo'!A$2:N$245,14,FALSE)</f>
        <v>#N/A</v>
      </c>
      <c r="J126" s="10"/>
      <c r="K126" s="6"/>
      <c r="L126" s="6"/>
      <c r="M126" s="11" t="e">
        <f t="shared" si="1"/>
        <v>#N/A</v>
      </c>
      <c r="N126" s="12"/>
      <c r="O126" s="13"/>
      <c r="P126" s="6"/>
      <c r="Q126" s="6"/>
      <c r="R126" s="6"/>
    </row>
    <row r="127" spans="1:18" x14ac:dyDescent="0.25">
      <c r="A127" s="13" t="s">
        <v>19</v>
      </c>
      <c r="B127" s="13" t="s">
        <v>20</v>
      </c>
      <c r="C127" s="10">
        <v>43259</v>
      </c>
      <c r="D127" s="6"/>
      <c r="E127" s="6" t="e">
        <f>VLOOKUP(D127,'c.c'!A$1:B$343,2,FALSE)</f>
        <v>#N/A</v>
      </c>
      <c r="F127" s="7"/>
      <c r="G127" s="8" t="e">
        <f>VLOOKUP(F127,'controle saldo'!A$2:N$240,3,FALSE)</f>
        <v>#N/A</v>
      </c>
      <c r="H127" s="7"/>
      <c r="I127" s="9" t="e">
        <f>VLOOKUP(F127,'controle saldo'!A$2:N$245,14,FALSE)</f>
        <v>#N/A</v>
      </c>
      <c r="J127" s="10"/>
      <c r="K127" s="6"/>
      <c r="L127" s="6"/>
      <c r="M127" s="11" t="e">
        <f t="shared" si="1"/>
        <v>#N/A</v>
      </c>
      <c r="N127" s="12"/>
      <c r="O127" s="13"/>
      <c r="P127" s="6"/>
      <c r="Q127" s="6"/>
      <c r="R127" s="6"/>
    </row>
    <row r="128" spans="1:18" x14ac:dyDescent="0.25">
      <c r="A128" s="13" t="s">
        <v>19</v>
      </c>
      <c r="B128" s="13" t="s">
        <v>20</v>
      </c>
      <c r="C128" s="10">
        <v>43259</v>
      </c>
      <c r="D128" s="6"/>
      <c r="E128" s="6" t="e">
        <f>VLOOKUP(D128,'c.c'!A$1:B$343,2,FALSE)</f>
        <v>#N/A</v>
      </c>
      <c r="F128" s="7"/>
      <c r="G128" s="8" t="e">
        <f>VLOOKUP(F128,'controle saldo'!A$2:N$240,3,FALSE)</f>
        <v>#N/A</v>
      </c>
      <c r="H128" s="7"/>
      <c r="I128" s="9" t="e">
        <f>VLOOKUP(F128,'controle saldo'!A$2:N$245,14,FALSE)</f>
        <v>#N/A</v>
      </c>
      <c r="J128" s="10"/>
      <c r="K128" s="6"/>
      <c r="L128" s="6"/>
      <c r="M128" s="11" t="e">
        <f t="shared" si="1"/>
        <v>#N/A</v>
      </c>
      <c r="N128" s="12"/>
      <c r="O128" s="13"/>
      <c r="P128" s="6"/>
      <c r="Q128" s="6"/>
      <c r="R128" s="6"/>
    </row>
    <row r="129" spans="1:18" x14ac:dyDescent="0.25">
      <c r="A129" s="13" t="s">
        <v>19</v>
      </c>
      <c r="B129" s="13" t="s">
        <v>20</v>
      </c>
      <c r="C129" s="10">
        <v>43259</v>
      </c>
      <c r="D129" s="6"/>
      <c r="E129" s="6" t="e">
        <f>VLOOKUP(D129,'c.c'!A$1:B$343,2,FALSE)</f>
        <v>#N/A</v>
      </c>
      <c r="F129" s="7"/>
      <c r="G129" s="8" t="e">
        <f>VLOOKUP(F129,'controle saldo'!A$2:N$240,3,FALSE)</f>
        <v>#N/A</v>
      </c>
      <c r="H129" s="7"/>
      <c r="I129" s="9" t="e">
        <f>VLOOKUP(F129,'controle saldo'!A$2:N$245,14,FALSE)</f>
        <v>#N/A</v>
      </c>
      <c r="J129" s="10"/>
      <c r="K129" s="6"/>
      <c r="L129" s="6"/>
      <c r="M129" s="11" t="e">
        <f t="shared" si="1"/>
        <v>#N/A</v>
      </c>
      <c r="N129" s="12"/>
      <c r="O129" s="13"/>
      <c r="P129" s="6"/>
      <c r="Q129" s="6"/>
      <c r="R129" s="6"/>
    </row>
    <row r="130" spans="1:18" x14ac:dyDescent="0.25">
      <c r="A130" s="13" t="s">
        <v>19</v>
      </c>
      <c r="B130" s="13" t="s">
        <v>20</v>
      </c>
      <c r="C130" s="10">
        <v>43259</v>
      </c>
      <c r="D130" s="6"/>
      <c r="E130" s="6" t="e">
        <f>VLOOKUP(D130,'c.c'!A$1:B$343,2,FALSE)</f>
        <v>#N/A</v>
      </c>
      <c r="F130" s="7"/>
      <c r="G130" s="8" t="e">
        <f>VLOOKUP(F130,'controle saldo'!A$2:N$240,3,FALSE)</f>
        <v>#N/A</v>
      </c>
      <c r="H130" s="7"/>
      <c r="I130" s="9" t="e">
        <f>VLOOKUP(F130,'controle saldo'!A$2:N$245,14,FALSE)</f>
        <v>#N/A</v>
      </c>
      <c r="J130" s="10"/>
      <c r="K130" s="6"/>
      <c r="L130" s="6"/>
      <c r="M130" s="11" t="e">
        <f t="shared" si="1"/>
        <v>#N/A</v>
      </c>
      <c r="N130" s="12"/>
      <c r="O130" s="13"/>
      <c r="P130" s="6"/>
      <c r="Q130" s="6"/>
      <c r="R130" s="6"/>
    </row>
    <row r="131" spans="1:18" x14ac:dyDescent="0.25">
      <c r="A131" s="13" t="s">
        <v>19</v>
      </c>
      <c r="B131" s="13" t="s">
        <v>20</v>
      </c>
      <c r="C131" s="10">
        <v>43259</v>
      </c>
      <c r="D131" s="6"/>
      <c r="E131" s="6" t="e">
        <f>VLOOKUP(D131,'c.c'!A$1:B$343,2,FALSE)</f>
        <v>#N/A</v>
      </c>
      <c r="F131" s="7"/>
      <c r="G131" s="8" t="e">
        <f>VLOOKUP(F131,'controle saldo'!A$2:N$240,3,FALSE)</f>
        <v>#N/A</v>
      </c>
      <c r="H131" s="7"/>
      <c r="I131" s="9" t="e">
        <f>VLOOKUP(F131,'controle saldo'!A$2:N$245,14,FALSE)</f>
        <v>#N/A</v>
      </c>
      <c r="J131" s="10"/>
      <c r="K131" s="6"/>
      <c r="L131" s="6"/>
      <c r="M131" s="11" t="e">
        <f t="shared" ref="M131:M194" si="2">I131*L131</f>
        <v>#N/A</v>
      </c>
      <c r="N131" s="12"/>
      <c r="O131" s="13"/>
      <c r="P131" s="6"/>
      <c r="Q131" s="6"/>
      <c r="R131" s="6"/>
    </row>
    <row r="132" spans="1:18" x14ac:dyDescent="0.25">
      <c r="A132" s="13" t="s">
        <v>19</v>
      </c>
      <c r="B132" s="13" t="s">
        <v>20</v>
      </c>
      <c r="C132" s="10">
        <v>43259</v>
      </c>
      <c r="D132" s="6"/>
      <c r="E132" s="6" t="e">
        <f>VLOOKUP(D132,'c.c'!A$1:B$343,2,FALSE)</f>
        <v>#N/A</v>
      </c>
      <c r="F132" s="7"/>
      <c r="G132" s="8" t="e">
        <f>VLOOKUP(F132,'controle saldo'!A$2:N$240,3,FALSE)</f>
        <v>#N/A</v>
      </c>
      <c r="H132" s="7"/>
      <c r="I132" s="9" t="e">
        <f>VLOOKUP(F132,'controle saldo'!A$2:N$245,14,FALSE)</f>
        <v>#N/A</v>
      </c>
      <c r="J132" s="10"/>
      <c r="K132" s="6"/>
      <c r="L132" s="6"/>
      <c r="M132" s="11" t="e">
        <f t="shared" si="2"/>
        <v>#N/A</v>
      </c>
      <c r="N132" s="12"/>
      <c r="O132" s="13"/>
      <c r="P132" s="6"/>
      <c r="Q132" s="6"/>
      <c r="R132" s="6"/>
    </row>
    <row r="133" spans="1:18" x14ac:dyDescent="0.25">
      <c r="A133" s="13" t="s">
        <v>19</v>
      </c>
      <c r="B133" s="13" t="s">
        <v>20</v>
      </c>
      <c r="C133" s="10">
        <v>43259</v>
      </c>
      <c r="D133" s="6"/>
      <c r="E133" s="6" t="e">
        <f>VLOOKUP(D133,'c.c'!A$1:B$343,2,FALSE)</f>
        <v>#N/A</v>
      </c>
      <c r="F133" s="7"/>
      <c r="G133" s="8" t="e">
        <f>VLOOKUP(F133,'controle saldo'!A$2:N$240,3,FALSE)</f>
        <v>#N/A</v>
      </c>
      <c r="H133" s="7"/>
      <c r="I133" s="9" t="e">
        <f>VLOOKUP(F133,'controle saldo'!A$2:N$245,14,FALSE)</f>
        <v>#N/A</v>
      </c>
      <c r="J133" s="10"/>
      <c r="K133" s="6"/>
      <c r="L133" s="6"/>
      <c r="M133" s="11" t="e">
        <f t="shared" si="2"/>
        <v>#N/A</v>
      </c>
      <c r="N133" s="12"/>
      <c r="O133" s="13"/>
      <c r="P133" s="6"/>
      <c r="Q133" s="6"/>
      <c r="R133" s="6"/>
    </row>
    <row r="134" spans="1:18" x14ac:dyDescent="0.25">
      <c r="A134" s="13" t="s">
        <v>19</v>
      </c>
      <c r="B134" s="13" t="s">
        <v>20</v>
      </c>
      <c r="C134" s="10">
        <v>43259</v>
      </c>
      <c r="D134" s="6"/>
      <c r="E134" s="6" t="e">
        <f>VLOOKUP(D134,'c.c'!A$1:B$343,2,FALSE)</f>
        <v>#N/A</v>
      </c>
      <c r="F134" s="7"/>
      <c r="G134" s="8" t="e">
        <f>VLOOKUP(F134,'controle saldo'!A$2:N$240,3,FALSE)</f>
        <v>#N/A</v>
      </c>
      <c r="H134" s="7"/>
      <c r="I134" s="9" t="e">
        <f>VLOOKUP(F134,'controle saldo'!A$2:N$245,14,FALSE)</f>
        <v>#N/A</v>
      </c>
      <c r="J134" s="10"/>
      <c r="K134" s="6"/>
      <c r="L134" s="6"/>
      <c r="M134" s="11" t="e">
        <f t="shared" si="2"/>
        <v>#N/A</v>
      </c>
      <c r="N134" s="12"/>
      <c r="O134" s="13"/>
      <c r="P134" s="6"/>
      <c r="Q134" s="6"/>
      <c r="R134" s="6"/>
    </row>
    <row r="135" spans="1:18" x14ac:dyDescent="0.25">
      <c r="A135" s="13" t="s">
        <v>19</v>
      </c>
      <c r="B135" s="13" t="s">
        <v>20</v>
      </c>
      <c r="C135" s="10">
        <v>43259</v>
      </c>
      <c r="D135" s="6"/>
      <c r="E135" s="6" t="e">
        <f>VLOOKUP(D135,'c.c'!A$1:B$343,2,FALSE)</f>
        <v>#N/A</v>
      </c>
      <c r="F135" s="7"/>
      <c r="G135" s="8" t="e">
        <f>VLOOKUP(F135,'controle saldo'!A$2:N$240,3,FALSE)</f>
        <v>#N/A</v>
      </c>
      <c r="H135" s="7"/>
      <c r="I135" s="9" t="e">
        <f>VLOOKUP(F135,'controle saldo'!A$2:N$245,14,FALSE)</f>
        <v>#N/A</v>
      </c>
      <c r="J135" s="10"/>
      <c r="K135" s="6"/>
      <c r="L135" s="6"/>
      <c r="M135" s="11" t="e">
        <f t="shared" si="2"/>
        <v>#N/A</v>
      </c>
      <c r="N135" s="12"/>
      <c r="O135" s="13"/>
      <c r="P135" s="6"/>
      <c r="Q135" s="6"/>
      <c r="R135" s="6"/>
    </row>
    <row r="136" spans="1:18" x14ac:dyDescent="0.25">
      <c r="A136" s="13" t="s">
        <v>19</v>
      </c>
      <c r="B136" s="13" t="s">
        <v>20</v>
      </c>
      <c r="C136" s="10">
        <v>43259</v>
      </c>
      <c r="D136" s="6"/>
      <c r="E136" s="6" t="e">
        <f>VLOOKUP(D136,'c.c'!A$1:B$343,2,FALSE)</f>
        <v>#N/A</v>
      </c>
      <c r="F136" s="7"/>
      <c r="G136" s="8" t="e">
        <f>VLOOKUP(F136,'controle saldo'!A$2:N$240,3,FALSE)</f>
        <v>#N/A</v>
      </c>
      <c r="H136" s="7"/>
      <c r="I136" s="9" t="e">
        <f>VLOOKUP(F136,'controle saldo'!A$2:N$245,14,FALSE)</f>
        <v>#N/A</v>
      </c>
      <c r="J136" s="10"/>
      <c r="K136" s="6"/>
      <c r="L136" s="6"/>
      <c r="M136" s="11" t="e">
        <f t="shared" si="2"/>
        <v>#N/A</v>
      </c>
      <c r="N136" s="12"/>
      <c r="O136" s="13"/>
      <c r="P136" s="6"/>
      <c r="Q136" s="6"/>
      <c r="R136" s="6"/>
    </row>
    <row r="137" spans="1:18" x14ac:dyDescent="0.25">
      <c r="A137" s="13" t="s">
        <v>19</v>
      </c>
      <c r="B137" s="13" t="s">
        <v>20</v>
      </c>
      <c r="C137" s="10">
        <v>43259</v>
      </c>
      <c r="D137" s="6"/>
      <c r="E137" s="6" t="e">
        <f>VLOOKUP(D137,'c.c'!A$1:B$343,2,FALSE)</f>
        <v>#N/A</v>
      </c>
      <c r="F137" s="7"/>
      <c r="G137" s="8" t="e">
        <f>VLOOKUP(F137,'controle saldo'!A$2:N$240,3,FALSE)</f>
        <v>#N/A</v>
      </c>
      <c r="H137" s="7"/>
      <c r="I137" s="9" t="e">
        <f>VLOOKUP(F137,'controle saldo'!A$2:N$245,14,FALSE)</f>
        <v>#N/A</v>
      </c>
      <c r="J137" s="10"/>
      <c r="K137" s="6"/>
      <c r="L137" s="6"/>
      <c r="M137" s="11" t="e">
        <f t="shared" si="2"/>
        <v>#N/A</v>
      </c>
      <c r="N137" s="12"/>
      <c r="O137" s="13"/>
      <c r="P137" s="6"/>
      <c r="Q137" s="6"/>
      <c r="R137" s="6"/>
    </row>
    <row r="138" spans="1:18" x14ac:dyDescent="0.25">
      <c r="A138" s="13" t="s">
        <v>19</v>
      </c>
      <c r="B138" s="13" t="s">
        <v>20</v>
      </c>
      <c r="C138" s="10">
        <v>43259</v>
      </c>
      <c r="D138" s="6"/>
      <c r="E138" s="6" t="e">
        <f>VLOOKUP(D138,'c.c'!A$1:B$343,2,FALSE)</f>
        <v>#N/A</v>
      </c>
      <c r="F138" s="7"/>
      <c r="G138" s="8" t="e">
        <f>VLOOKUP(F138,'controle saldo'!A$2:N$240,3,FALSE)</f>
        <v>#N/A</v>
      </c>
      <c r="H138" s="7"/>
      <c r="I138" s="9" t="e">
        <f>VLOOKUP(F138,'controle saldo'!A$2:N$245,14,FALSE)</f>
        <v>#N/A</v>
      </c>
      <c r="J138" s="10"/>
      <c r="K138" s="6"/>
      <c r="L138" s="6"/>
      <c r="M138" s="11" t="e">
        <f t="shared" si="2"/>
        <v>#N/A</v>
      </c>
      <c r="N138" s="12"/>
      <c r="O138" s="13"/>
      <c r="P138" s="6"/>
      <c r="Q138" s="6"/>
      <c r="R138" s="6"/>
    </row>
    <row r="139" spans="1:18" x14ac:dyDescent="0.25">
      <c r="A139" s="13" t="s">
        <v>19</v>
      </c>
      <c r="B139" s="13" t="s">
        <v>20</v>
      </c>
      <c r="C139" s="10">
        <v>43259</v>
      </c>
      <c r="D139" s="6"/>
      <c r="E139" s="6" t="e">
        <f>VLOOKUP(D139,'c.c'!A$1:B$343,2,FALSE)</f>
        <v>#N/A</v>
      </c>
      <c r="F139" s="7"/>
      <c r="G139" s="8" t="e">
        <f>VLOOKUP(F139,'controle saldo'!A$2:N$240,3,FALSE)</f>
        <v>#N/A</v>
      </c>
      <c r="H139" s="7"/>
      <c r="I139" s="9" t="e">
        <f>VLOOKUP(F139,'controle saldo'!A$2:N$245,14,FALSE)</f>
        <v>#N/A</v>
      </c>
      <c r="J139" s="10"/>
      <c r="K139" s="6"/>
      <c r="L139" s="6"/>
      <c r="M139" s="11" t="e">
        <f t="shared" si="2"/>
        <v>#N/A</v>
      </c>
      <c r="N139" s="12"/>
      <c r="O139" s="13"/>
      <c r="P139" s="6"/>
      <c r="Q139" s="6"/>
      <c r="R139" s="6"/>
    </row>
    <row r="140" spans="1:18" x14ac:dyDescent="0.25">
      <c r="A140" s="13" t="s">
        <v>19</v>
      </c>
      <c r="B140" s="13" t="s">
        <v>20</v>
      </c>
      <c r="C140" s="10">
        <v>43259</v>
      </c>
      <c r="D140" s="6"/>
      <c r="E140" s="6" t="e">
        <f>VLOOKUP(D140,'c.c'!A$1:B$343,2,FALSE)</f>
        <v>#N/A</v>
      </c>
      <c r="F140" s="7"/>
      <c r="G140" s="8" t="e">
        <f>VLOOKUP(F140,'controle saldo'!A$2:N$240,3,FALSE)</f>
        <v>#N/A</v>
      </c>
      <c r="H140" s="7"/>
      <c r="I140" s="9" t="e">
        <f>VLOOKUP(F140,'controle saldo'!A$2:N$245,14,FALSE)</f>
        <v>#N/A</v>
      </c>
      <c r="J140" s="10"/>
      <c r="K140" s="6"/>
      <c r="L140" s="6"/>
      <c r="M140" s="11" t="e">
        <f t="shared" si="2"/>
        <v>#N/A</v>
      </c>
      <c r="N140" s="12"/>
      <c r="O140" s="13"/>
      <c r="P140" s="6"/>
      <c r="Q140" s="6"/>
      <c r="R140" s="6"/>
    </row>
    <row r="141" spans="1:18" x14ac:dyDescent="0.25">
      <c r="A141" s="13" t="s">
        <v>19</v>
      </c>
      <c r="B141" s="13" t="s">
        <v>20</v>
      </c>
      <c r="C141" s="10">
        <v>43259</v>
      </c>
      <c r="D141" s="6"/>
      <c r="E141" s="6" t="e">
        <f>VLOOKUP(D141,'c.c'!A$1:B$343,2,FALSE)</f>
        <v>#N/A</v>
      </c>
      <c r="F141" s="7"/>
      <c r="G141" s="8" t="e">
        <f>VLOOKUP(F141,'controle saldo'!A$2:N$240,3,FALSE)</f>
        <v>#N/A</v>
      </c>
      <c r="H141" s="7"/>
      <c r="I141" s="9" t="e">
        <f>VLOOKUP(F141,'controle saldo'!A$2:N$245,14,FALSE)</f>
        <v>#N/A</v>
      </c>
      <c r="J141" s="10"/>
      <c r="K141" s="6"/>
      <c r="L141" s="6"/>
      <c r="M141" s="11" t="e">
        <f t="shared" si="2"/>
        <v>#N/A</v>
      </c>
      <c r="N141" s="12"/>
      <c r="O141" s="13"/>
      <c r="P141" s="6"/>
      <c r="Q141" s="6"/>
      <c r="R141" s="6"/>
    </row>
    <row r="142" spans="1:18" x14ac:dyDescent="0.25">
      <c r="A142" s="13" t="s">
        <v>19</v>
      </c>
      <c r="B142" s="13" t="s">
        <v>20</v>
      </c>
      <c r="C142" s="10">
        <v>43259</v>
      </c>
      <c r="D142" s="6"/>
      <c r="E142" s="6" t="e">
        <f>VLOOKUP(D142,'c.c'!A$1:B$343,2,FALSE)</f>
        <v>#N/A</v>
      </c>
      <c r="F142" s="7"/>
      <c r="G142" s="8" t="e">
        <f>VLOOKUP(F142,'controle saldo'!A$2:N$240,3,FALSE)</f>
        <v>#N/A</v>
      </c>
      <c r="H142" s="7"/>
      <c r="I142" s="9" t="e">
        <f>VLOOKUP(F142,'controle saldo'!A$2:N$245,14,FALSE)</f>
        <v>#N/A</v>
      </c>
      <c r="J142" s="10"/>
      <c r="K142" s="6"/>
      <c r="L142" s="6"/>
      <c r="M142" s="11" t="e">
        <f t="shared" si="2"/>
        <v>#N/A</v>
      </c>
      <c r="N142" s="12"/>
      <c r="O142" s="13"/>
      <c r="P142" s="6"/>
      <c r="Q142" s="6"/>
      <c r="R142" s="6"/>
    </row>
    <row r="143" spans="1:18" x14ac:dyDescent="0.25">
      <c r="A143" s="13" t="s">
        <v>19</v>
      </c>
      <c r="B143" s="13" t="s">
        <v>20</v>
      </c>
      <c r="C143" s="10">
        <v>43259</v>
      </c>
      <c r="D143" s="6"/>
      <c r="E143" s="6" t="e">
        <f>VLOOKUP(D143,'c.c'!A$1:B$343,2,FALSE)</f>
        <v>#N/A</v>
      </c>
      <c r="F143" s="7"/>
      <c r="G143" s="8" t="e">
        <f>VLOOKUP(F143,'controle saldo'!A$2:N$240,3,FALSE)</f>
        <v>#N/A</v>
      </c>
      <c r="H143" s="7"/>
      <c r="I143" s="9" t="e">
        <f>VLOOKUP(F143,'controle saldo'!A$2:N$245,14,FALSE)</f>
        <v>#N/A</v>
      </c>
      <c r="J143" s="10"/>
      <c r="K143" s="6"/>
      <c r="L143" s="6"/>
      <c r="M143" s="11" t="e">
        <f t="shared" si="2"/>
        <v>#N/A</v>
      </c>
      <c r="N143" s="12"/>
      <c r="O143" s="13"/>
      <c r="P143" s="6"/>
      <c r="Q143" s="6"/>
      <c r="R143" s="6"/>
    </row>
    <row r="144" spans="1:18" x14ac:dyDescent="0.25">
      <c r="A144" s="13" t="s">
        <v>19</v>
      </c>
      <c r="B144" s="13" t="s">
        <v>20</v>
      </c>
      <c r="C144" s="10">
        <v>43259</v>
      </c>
      <c r="D144" s="6"/>
      <c r="E144" s="6" t="e">
        <f>VLOOKUP(D144,'c.c'!A$1:B$343,2,FALSE)</f>
        <v>#N/A</v>
      </c>
      <c r="F144" s="7"/>
      <c r="G144" s="8" t="e">
        <f>VLOOKUP(F144,'controle saldo'!A$2:N$240,3,FALSE)</f>
        <v>#N/A</v>
      </c>
      <c r="H144" s="7"/>
      <c r="I144" s="9" t="e">
        <f>VLOOKUP(F144,'controle saldo'!A$2:N$245,14,FALSE)</f>
        <v>#N/A</v>
      </c>
      <c r="J144" s="10"/>
      <c r="K144" s="6"/>
      <c r="L144" s="6"/>
      <c r="M144" s="11" t="e">
        <f t="shared" si="2"/>
        <v>#N/A</v>
      </c>
      <c r="N144" s="12"/>
      <c r="O144" s="13"/>
      <c r="P144" s="6"/>
      <c r="Q144" s="6"/>
      <c r="R144" s="6"/>
    </row>
    <row r="145" spans="1:18" x14ac:dyDescent="0.25">
      <c r="A145" s="13" t="s">
        <v>19</v>
      </c>
      <c r="B145" s="13" t="s">
        <v>20</v>
      </c>
      <c r="C145" s="10">
        <v>43259</v>
      </c>
      <c r="D145" s="6"/>
      <c r="E145" s="6" t="e">
        <f>VLOOKUP(D145,'c.c'!A$1:B$343,2,FALSE)</f>
        <v>#N/A</v>
      </c>
      <c r="F145" s="7"/>
      <c r="G145" s="8" t="e">
        <f>VLOOKUP(F145,'controle saldo'!A$2:N$240,3,FALSE)</f>
        <v>#N/A</v>
      </c>
      <c r="H145" s="7"/>
      <c r="I145" s="9" t="e">
        <f>VLOOKUP(F145,'controle saldo'!A$2:N$245,14,FALSE)</f>
        <v>#N/A</v>
      </c>
      <c r="J145" s="10"/>
      <c r="K145" s="6"/>
      <c r="L145" s="6"/>
      <c r="M145" s="11" t="e">
        <f t="shared" si="2"/>
        <v>#N/A</v>
      </c>
      <c r="N145" s="12"/>
      <c r="O145" s="13"/>
      <c r="P145" s="6"/>
      <c r="Q145" s="6"/>
      <c r="R145" s="6"/>
    </row>
    <row r="146" spans="1:18" x14ac:dyDescent="0.25">
      <c r="A146" s="13" t="s">
        <v>19</v>
      </c>
      <c r="B146" s="13" t="s">
        <v>20</v>
      </c>
      <c r="C146" s="10">
        <v>43259</v>
      </c>
      <c r="D146" s="6"/>
      <c r="E146" s="6" t="e">
        <f>VLOOKUP(D146,'c.c'!A$1:B$343,2,FALSE)</f>
        <v>#N/A</v>
      </c>
      <c r="F146" s="7"/>
      <c r="G146" s="8" t="e">
        <f>VLOOKUP(F146,'controle saldo'!A$2:N$240,3,FALSE)</f>
        <v>#N/A</v>
      </c>
      <c r="H146" s="7"/>
      <c r="I146" s="9" t="e">
        <f>VLOOKUP(F146,'controle saldo'!A$2:N$245,14,FALSE)</f>
        <v>#N/A</v>
      </c>
      <c r="J146" s="10"/>
      <c r="K146" s="6"/>
      <c r="L146" s="6"/>
      <c r="M146" s="11" t="e">
        <f t="shared" si="2"/>
        <v>#N/A</v>
      </c>
      <c r="N146" s="12"/>
      <c r="O146" s="13"/>
      <c r="P146" s="6"/>
      <c r="Q146" s="6"/>
      <c r="R146" s="6"/>
    </row>
    <row r="147" spans="1:18" x14ac:dyDescent="0.25">
      <c r="A147" s="13" t="s">
        <v>19</v>
      </c>
      <c r="B147" s="13" t="s">
        <v>20</v>
      </c>
      <c r="C147" s="10">
        <v>43259</v>
      </c>
      <c r="D147" s="6"/>
      <c r="E147" s="6" t="e">
        <f>VLOOKUP(D147,'c.c'!A$1:B$343,2,FALSE)</f>
        <v>#N/A</v>
      </c>
      <c r="F147" s="7"/>
      <c r="G147" s="8" t="e">
        <f>VLOOKUP(F147,'controle saldo'!A$2:N$240,3,FALSE)</f>
        <v>#N/A</v>
      </c>
      <c r="H147" s="7"/>
      <c r="I147" s="9" t="e">
        <f>VLOOKUP(F147,'controle saldo'!A$2:N$245,14,FALSE)</f>
        <v>#N/A</v>
      </c>
      <c r="J147" s="10"/>
      <c r="K147" s="6"/>
      <c r="L147" s="6"/>
      <c r="M147" s="11" t="e">
        <f t="shared" si="2"/>
        <v>#N/A</v>
      </c>
      <c r="N147" s="12"/>
      <c r="O147" s="13"/>
      <c r="P147" s="6"/>
      <c r="Q147" s="6"/>
      <c r="R147" s="6"/>
    </row>
    <row r="148" spans="1:18" x14ac:dyDescent="0.25">
      <c r="A148" s="13" t="s">
        <v>19</v>
      </c>
      <c r="B148" s="13" t="s">
        <v>20</v>
      </c>
      <c r="C148" s="10">
        <v>43259</v>
      </c>
      <c r="D148" s="6"/>
      <c r="E148" s="6" t="e">
        <f>VLOOKUP(D148,'c.c'!A$1:B$343,2,FALSE)</f>
        <v>#N/A</v>
      </c>
      <c r="F148" s="7"/>
      <c r="G148" s="8" t="e">
        <f>VLOOKUP(F148,'controle saldo'!A$2:N$240,3,FALSE)</f>
        <v>#N/A</v>
      </c>
      <c r="H148" s="7"/>
      <c r="I148" s="9" t="e">
        <f>VLOOKUP(F148,'controle saldo'!A$2:N$245,14,FALSE)</f>
        <v>#N/A</v>
      </c>
      <c r="J148" s="10"/>
      <c r="K148" s="6"/>
      <c r="L148" s="6"/>
      <c r="M148" s="11" t="e">
        <f t="shared" si="2"/>
        <v>#N/A</v>
      </c>
      <c r="N148" s="12"/>
      <c r="O148" s="13"/>
      <c r="P148" s="6"/>
      <c r="Q148" s="6"/>
      <c r="R148" s="6"/>
    </row>
    <row r="149" spans="1:18" x14ac:dyDescent="0.25">
      <c r="A149" s="13" t="s">
        <v>19</v>
      </c>
      <c r="B149" s="13" t="s">
        <v>20</v>
      </c>
      <c r="C149" s="10">
        <v>43259</v>
      </c>
      <c r="D149" s="6"/>
      <c r="E149" s="6" t="e">
        <f>VLOOKUP(D149,'c.c'!A$1:B$343,2,FALSE)</f>
        <v>#N/A</v>
      </c>
      <c r="F149" s="7"/>
      <c r="G149" s="8" t="e">
        <f>VLOOKUP(F149,'controle saldo'!A$2:N$240,3,FALSE)</f>
        <v>#N/A</v>
      </c>
      <c r="H149" s="7"/>
      <c r="I149" s="9" t="e">
        <f>VLOOKUP(F149,'controle saldo'!A$2:N$245,14,FALSE)</f>
        <v>#N/A</v>
      </c>
      <c r="J149" s="10"/>
      <c r="K149" s="6"/>
      <c r="L149" s="6"/>
      <c r="M149" s="11" t="e">
        <f t="shared" si="2"/>
        <v>#N/A</v>
      </c>
      <c r="N149" s="12"/>
      <c r="O149" s="13"/>
      <c r="P149" s="6"/>
      <c r="Q149" s="6"/>
      <c r="R149" s="6"/>
    </row>
    <row r="150" spans="1:18" x14ac:dyDescent="0.25">
      <c r="A150" s="13" t="s">
        <v>19</v>
      </c>
      <c r="B150" s="13" t="s">
        <v>20</v>
      </c>
      <c r="C150" s="10">
        <v>43259</v>
      </c>
      <c r="D150" s="6"/>
      <c r="E150" s="6" t="e">
        <f>VLOOKUP(D150,'c.c'!A$1:B$343,2,FALSE)</f>
        <v>#N/A</v>
      </c>
      <c r="F150" s="7"/>
      <c r="G150" s="8" t="e">
        <f>VLOOKUP(F150,'controle saldo'!A$2:N$240,3,FALSE)</f>
        <v>#N/A</v>
      </c>
      <c r="H150" s="7"/>
      <c r="I150" s="9" t="e">
        <f>VLOOKUP(F150,'controle saldo'!A$2:N$245,14,FALSE)</f>
        <v>#N/A</v>
      </c>
      <c r="J150" s="10"/>
      <c r="K150" s="6"/>
      <c r="L150" s="6"/>
      <c r="M150" s="11" t="e">
        <f t="shared" si="2"/>
        <v>#N/A</v>
      </c>
      <c r="N150" s="12"/>
      <c r="O150" s="13"/>
      <c r="P150" s="6"/>
      <c r="Q150" s="6"/>
      <c r="R150" s="6"/>
    </row>
    <row r="151" spans="1:18" x14ac:dyDescent="0.25">
      <c r="A151" s="13"/>
      <c r="B151" s="13"/>
      <c r="C151" s="13"/>
      <c r="D151" s="6"/>
      <c r="E151" s="6"/>
      <c r="F151" s="7"/>
      <c r="G151" s="8" t="e">
        <f>VLOOKUP(F151,'controle saldo'!A$2:N$240,3,FALSE)</f>
        <v>#N/A</v>
      </c>
      <c r="H151" s="7"/>
      <c r="I151" s="9" t="e">
        <f>VLOOKUP(F151,'controle saldo'!A$2:N$245,14,FALSE)</f>
        <v>#N/A</v>
      </c>
      <c r="J151" s="10"/>
      <c r="K151" s="6"/>
      <c r="L151" s="6"/>
      <c r="M151" s="11" t="e">
        <f t="shared" si="2"/>
        <v>#N/A</v>
      </c>
      <c r="N151" s="12"/>
      <c r="O151" s="13"/>
      <c r="P151" s="6"/>
      <c r="Q151" s="6"/>
      <c r="R151" s="6"/>
    </row>
    <row r="152" spans="1:18" x14ac:dyDescent="0.25">
      <c r="A152" s="13"/>
      <c r="B152" s="13"/>
      <c r="C152" s="13"/>
      <c r="D152" s="6"/>
      <c r="E152" s="6"/>
      <c r="F152" s="7"/>
      <c r="G152" s="8" t="e">
        <f>VLOOKUP(F152,'controle saldo'!A$2:N$240,3,FALSE)</f>
        <v>#N/A</v>
      </c>
      <c r="H152" s="7"/>
      <c r="I152" s="9" t="e">
        <f>VLOOKUP(F152,'controle saldo'!A$2:N$245,14,FALSE)</f>
        <v>#N/A</v>
      </c>
      <c r="J152" s="10"/>
      <c r="K152" s="6"/>
      <c r="L152" s="6"/>
      <c r="M152" s="11" t="e">
        <f t="shared" si="2"/>
        <v>#N/A</v>
      </c>
      <c r="N152" s="12"/>
      <c r="O152" s="13"/>
      <c r="P152" s="6"/>
      <c r="Q152" s="6"/>
      <c r="R152" s="6"/>
    </row>
    <row r="153" spans="1:18" x14ac:dyDescent="0.25">
      <c r="A153" s="13"/>
      <c r="B153" s="13"/>
      <c r="C153" s="13"/>
      <c r="D153" s="6"/>
      <c r="E153" s="6"/>
      <c r="F153" s="7"/>
      <c r="G153" s="8" t="e">
        <f>VLOOKUP(F153,'controle saldo'!A$2:N$240,3,FALSE)</f>
        <v>#N/A</v>
      </c>
      <c r="H153" s="7"/>
      <c r="I153" s="9" t="e">
        <f>VLOOKUP(F153,'controle saldo'!A$2:N$245,14,FALSE)</f>
        <v>#N/A</v>
      </c>
      <c r="J153" s="10"/>
      <c r="K153" s="6"/>
      <c r="L153" s="6"/>
      <c r="M153" s="11" t="e">
        <f t="shared" si="2"/>
        <v>#N/A</v>
      </c>
      <c r="N153" s="12"/>
      <c r="O153" s="13"/>
      <c r="P153" s="6"/>
      <c r="Q153" s="6"/>
      <c r="R153" s="6"/>
    </row>
    <row r="154" spans="1:18" x14ac:dyDescent="0.25">
      <c r="A154" s="13"/>
      <c r="B154" s="13"/>
      <c r="C154" s="13"/>
      <c r="D154" s="6"/>
      <c r="E154" s="6"/>
      <c r="F154" s="7"/>
      <c r="G154" s="8" t="e">
        <f>VLOOKUP(F154,'controle saldo'!A$2:N$240,3,FALSE)</f>
        <v>#N/A</v>
      </c>
      <c r="H154" s="7"/>
      <c r="I154" s="9" t="e">
        <f>VLOOKUP(F154,'controle saldo'!A$2:N$245,14,FALSE)</f>
        <v>#N/A</v>
      </c>
      <c r="J154" s="10"/>
      <c r="K154" s="6"/>
      <c r="L154" s="6"/>
      <c r="M154" s="11" t="e">
        <f t="shared" si="2"/>
        <v>#N/A</v>
      </c>
      <c r="N154" s="12"/>
      <c r="O154" s="13"/>
      <c r="P154" s="6"/>
      <c r="Q154" s="6"/>
      <c r="R154" s="6"/>
    </row>
    <row r="155" spans="1:18" x14ac:dyDescent="0.25">
      <c r="A155" s="13"/>
      <c r="B155" s="13"/>
      <c r="C155" s="13"/>
      <c r="D155" s="6"/>
      <c r="E155" s="6"/>
      <c r="F155" s="7"/>
      <c r="G155" s="8" t="e">
        <f>VLOOKUP(F155,'controle saldo'!A$2:N$240,3,FALSE)</f>
        <v>#N/A</v>
      </c>
      <c r="H155" s="7"/>
      <c r="I155" s="9" t="e">
        <f>VLOOKUP(F155,'controle saldo'!A$2:N$245,14,FALSE)</f>
        <v>#N/A</v>
      </c>
      <c r="J155" s="10"/>
      <c r="K155" s="6"/>
      <c r="L155" s="6"/>
      <c r="M155" s="11" t="e">
        <f t="shared" si="2"/>
        <v>#N/A</v>
      </c>
      <c r="N155" s="12"/>
      <c r="O155" s="13"/>
      <c r="P155" s="6"/>
      <c r="Q155" s="6"/>
      <c r="R155" s="6"/>
    </row>
    <row r="156" spans="1:18" x14ac:dyDescent="0.25">
      <c r="A156" s="13"/>
      <c r="B156" s="13"/>
      <c r="C156" s="13"/>
      <c r="D156" s="6"/>
      <c r="E156" s="6"/>
      <c r="F156" s="7"/>
      <c r="G156" s="8" t="e">
        <f>VLOOKUP(F156,'controle saldo'!A$2:N$240,3,FALSE)</f>
        <v>#N/A</v>
      </c>
      <c r="H156" s="7"/>
      <c r="I156" s="9" t="e">
        <f>VLOOKUP(F156,'controle saldo'!A$2:N$245,14,FALSE)</f>
        <v>#N/A</v>
      </c>
      <c r="J156" s="10"/>
      <c r="K156" s="6"/>
      <c r="L156" s="6"/>
      <c r="M156" s="11" t="e">
        <f t="shared" si="2"/>
        <v>#N/A</v>
      </c>
      <c r="N156" s="12"/>
      <c r="O156" s="13"/>
      <c r="P156" s="6"/>
      <c r="Q156" s="6"/>
      <c r="R156" s="6"/>
    </row>
    <row r="157" spans="1:18" x14ac:dyDescent="0.25">
      <c r="A157" s="13"/>
      <c r="B157" s="13"/>
      <c r="C157" s="13"/>
      <c r="D157" s="6"/>
      <c r="E157" s="6"/>
      <c r="F157" s="7"/>
      <c r="G157" s="8" t="e">
        <f>VLOOKUP(F157,'controle saldo'!A$2:N$240,3,FALSE)</f>
        <v>#N/A</v>
      </c>
      <c r="H157" s="7"/>
      <c r="I157" s="9" t="e">
        <f>VLOOKUP(F157,'controle saldo'!A$2:N$245,14,FALSE)</f>
        <v>#N/A</v>
      </c>
      <c r="J157" s="10"/>
      <c r="K157" s="6"/>
      <c r="L157" s="6"/>
      <c r="M157" s="11" t="e">
        <f t="shared" si="2"/>
        <v>#N/A</v>
      </c>
      <c r="N157" s="12"/>
      <c r="O157" s="13"/>
      <c r="P157" s="6"/>
      <c r="Q157" s="6"/>
      <c r="R157" s="6"/>
    </row>
    <row r="158" spans="1:18" x14ac:dyDescent="0.25">
      <c r="A158" s="13"/>
      <c r="B158" s="13"/>
      <c r="C158" s="13"/>
      <c r="D158" s="6"/>
      <c r="E158" s="6"/>
      <c r="F158" s="7"/>
      <c r="G158" s="8" t="e">
        <f>VLOOKUP(F158,'controle saldo'!A$2:N$240,3,FALSE)</f>
        <v>#N/A</v>
      </c>
      <c r="H158" s="7"/>
      <c r="I158" s="9" t="e">
        <f>VLOOKUP(F158,'controle saldo'!A$2:N$245,14,FALSE)</f>
        <v>#N/A</v>
      </c>
      <c r="J158" s="10"/>
      <c r="K158" s="6"/>
      <c r="L158" s="6"/>
      <c r="M158" s="11" t="e">
        <f t="shared" si="2"/>
        <v>#N/A</v>
      </c>
      <c r="N158" s="12"/>
      <c r="O158" s="13"/>
      <c r="P158" s="6"/>
      <c r="Q158" s="6"/>
      <c r="R158" s="6"/>
    </row>
    <row r="159" spans="1:18" x14ac:dyDescent="0.25">
      <c r="A159" s="13"/>
      <c r="B159" s="13"/>
      <c r="C159" s="13"/>
      <c r="D159" s="6"/>
      <c r="E159" s="6"/>
      <c r="F159" s="7"/>
      <c r="G159" s="8" t="e">
        <f>VLOOKUP(F159,'controle saldo'!A$2:N$240,3,FALSE)</f>
        <v>#N/A</v>
      </c>
      <c r="H159" s="7"/>
      <c r="I159" s="9" t="e">
        <f>VLOOKUP(F159,'controle saldo'!A$2:N$245,14,FALSE)</f>
        <v>#N/A</v>
      </c>
      <c r="J159" s="10"/>
      <c r="K159" s="6"/>
      <c r="L159" s="6"/>
      <c r="M159" s="11" t="e">
        <f t="shared" si="2"/>
        <v>#N/A</v>
      </c>
      <c r="N159" s="12"/>
      <c r="O159" s="13"/>
      <c r="P159" s="6"/>
      <c r="Q159" s="6"/>
      <c r="R159" s="6"/>
    </row>
    <row r="160" spans="1:18" x14ac:dyDescent="0.25">
      <c r="A160" s="13"/>
      <c r="B160" s="13"/>
      <c r="C160" s="13"/>
      <c r="D160" s="6"/>
      <c r="E160" s="6"/>
      <c r="F160" s="7"/>
      <c r="G160" s="8" t="e">
        <f>VLOOKUP(F160,'controle saldo'!A$2:N$240,3,FALSE)</f>
        <v>#N/A</v>
      </c>
      <c r="H160" s="7"/>
      <c r="I160" s="9" t="e">
        <f>VLOOKUP(F160,'controle saldo'!A$2:N$245,14,FALSE)</f>
        <v>#N/A</v>
      </c>
      <c r="J160" s="10"/>
      <c r="K160" s="6"/>
      <c r="L160" s="6"/>
      <c r="M160" s="11" t="e">
        <f t="shared" si="2"/>
        <v>#N/A</v>
      </c>
      <c r="N160" s="12"/>
      <c r="O160" s="13"/>
      <c r="P160" s="6"/>
      <c r="Q160" s="6"/>
      <c r="R160" s="6"/>
    </row>
    <row r="161" spans="1:18" x14ac:dyDescent="0.25">
      <c r="A161" s="13"/>
      <c r="B161" s="13"/>
      <c r="C161" s="13"/>
      <c r="D161" s="6"/>
      <c r="E161" s="6"/>
      <c r="F161" s="7"/>
      <c r="G161" s="8" t="e">
        <f>VLOOKUP(F161,'controle saldo'!A$2:N$240,3,FALSE)</f>
        <v>#N/A</v>
      </c>
      <c r="H161" s="7"/>
      <c r="I161" s="9" t="e">
        <f>VLOOKUP(F161,'controle saldo'!A$2:N$245,14,FALSE)</f>
        <v>#N/A</v>
      </c>
      <c r="J161" s="10"/>
      <c r="K161" s="6"/>
      <c r="L161" s="6"/>
      <c r="M161" s="11" t="e">
        <f t="shared" si="2"/>
        <v>#N/A</v>
      </c>
      <c r="N161" s="12"/>
      <c r="O161" s="13"/>
      <c r="P161" s="6"/>
      <c r="Q161" s="6"/>
      <c r="R161" s="6"/>
    </row>
    <row r="162" spans="1:18" x14ac:dyDescent="0.25">
      <c r="A162" s="13"/>
      <c r="B162" s="13"/>
      <c r="C162" s="13"/>
      <c r="D162" s="6"/>
      <c r="E162" s="6"/>
      <c r="F162" s="7"/>
      <c r="G162" s="8" t="e">
        <f>VLOOKUP(F162,'controle saldo'!A$2:N$240,3,FALSE)</f>
        <v>#N/A</v>
      </c>
      <c r="H162" s="7"/>
      <c r="I162" s="9" t="e">
        <f>VLOOKUP(F162,'controle saldo'!A$2:N$245,14,FALSE)</f>
        <v>#N/A</v>
      </c>
      <c r="J162" s="10"/>
      <c r="K162" s="6"/>
      <c r="L162" s="6"/>
      <c r="M162" s="11" t="e">
        <f t="shared" si="2"/>
        <v>#N/A</v>
      </c>
      <c r="N162" s="12"/>
      <c r="O162" s="13"/>
      <c r="P162" s="6"/>
      <c r="Q162" s="6"/>
      <c r="R162" s="6"/>
    </row>
    <row r="163" spans="1:18" x14ac:dyDescent="0.25">
      <c r="A163" s="13"/>
      <c r="B163" s="13"/>
      <c r="C163" s="13"/>
      <c r="D163" s="6"/>
      <c r="E163" s="6"/>
      <c r="F163" s="7"/>
      <c r="G163" s="8" t="e">
        <f>VLOOKUP(F163,'controle saldo'!A$2:N$240,3,FALSE)</f>
        <v>#N/A</v>
      </c>
      <c r="H163" s="7"/>
      <c r="I163" s="9" t="e">
        <f>VLOOKUP(F163,'controle saldo'!A$2:N$245,14,FALSE)</f>
        <v>#N/A</v>
      </c>
      <c r="J163" s="10"/>
      <c r="K163" s="6"/>
      <c r="L163" s="6"/>
      <c r="M163" s="11" t="e">
        <f t="shared" si="2"/>
        <v>#N/A</v>
      </c>
      <c r="N163" s="12"/>
      <c r="O163" s="13"/>
      <c r="P163" s="6"/>
      <c r="Q163" s="6"/>
      <c r="R163" s="6"/>
    </row>
    <row r="164" spans="1:18" x14ac:dyDescent="0.25">
      <c r="A164" s="13"/>
      <c r="B164" s="13"/>
      <c r="C164" s="13"/>
      <c r="D164" s="6"/>
      <c r="E164" s="6"/>
      <c r="F164" s="7"/>
      <c r="G164" s="8" t="e">
        <f>VLOOKUP(F164,'controle saldo'!A$2:N$240,3,FALSE)</f>
        <v>#N/A</v>
      </c>
      <c r="H164" s="7"/>
      <c r="I164" s="9" t="e">
        <f>VLOOKUP(F164,'controle saldo'!A$2:N$245,14,FALSE)</f>
        <v>#N/A</v>
      </c>
      <c r="J164" s="10"/>
      <c r="K164" s="6"/>
      <c r="L164" s="6"/>
      <c r="M164" s="11" t="e">
        <f t="shared" si="2"/>
        <v>#N/A</v>
      </c>
      <c r="N164" s="12"/>
      <c r="O164" s="13"/>
      <c r="P164" s="6"/>
      <c r="Q164" s="6"/>
      <c r="R164" s="6"/>
    </row>
    <row r="165" spans="1:18" x14ac:dyDescent="0.25">
      <c r="A165" s="13"/>
      <c r="B165" s="13"/>
      <c r="C165" s="13"/>
      <c r="D165" s="6"/>
      <c r="E165" s="6"/>
      <c r="F165" s="7"/>
      <c r="G165" s="8" t="e">
        <f>VLOOKUP(F165,'controle saldo'!A$2:N$240,3,FALSE)</f>
        <v>#N/A</v>
      </c>
      <c r="H165" s="7"/>
      <c r="I165" s="9" t="e">
        <f>VLOOKUP(F165,'controle saldo'!A$2:N$245,14,FALSE)</f>
        <v>#N/A</v>
      </c>
      <c r="J165" s="10"/>
      <c r="K165" s="6"/>
      <c r="L165" s="6"/>
      <c r="M165" s="11" t="e">
        <f t="shared" si="2"/>
        <v>#N/A</v>
      </c>
      <c r="N165" s="12"/>
      <c r="O165" s="13"/>
      <c r="P165" s="6"/>
      <c r="Q165" s="6"/>
      <c r="R165" s="6"/>
    </row>
    <row r="166" spans="1:18" x14ac:dyDescent="0.25">
      <c r="A166" s="13"/>
      <c r="B166" s="13"/>
      <c r="C166" s="13"/>
      <c r="D166" s="6"/>
      <c r="E166" s="6"/>
      <c r="F166" s="7"/>
      <c r="G166" s="8" t="e">
        <f>VLOOKUP(F166,'controle saldo'!A$2:N$240,3,FALSE)</f>
        <v>#N/A</v>
      </c>
      <c r="H166" s="7"/>
      <c r="I166" s="9" t="e">
        <f>VLOOKUP(F166,'controle saldo'!A$2:N$245,14,FALSE)</f>
        <v>#N/A</v>
      </c>
      <c r="J166" s="10"/>
      <c r="K166" s="6"/>
      <c r="L166" s="6"/>
      <c r="M166" s="11" t="e">
        <f t="shared" si="2"/>
        <v>#N/A</v>
      </c>
      <c r="N166" s="12"/>
      <c r="O166" s="13"/>
      <c r="P166" s="6"/>
      <c r="Q166" s="6"/>
      <c r="R166" s="6"/>
    </row>
    <row r="167" spans="1:18" x14ac:dyDescent="0.25">
      <c r="A167" s="13"/>
      <c r="B167" s="13"/>
      <c r="C167" s="13"/>
      <c r="D167" s="6"/>
      <c r="E167" s="6"/>
      <c r="F167" s="7"/>
      <c r="G167" s="8" t="e">
        <f>VLOOKUP(F167,'controle saldo'!A$2:N$240,3,FALSE)</f>
        <v>#N/A</v>
      </c>
      <c r="H167" s="7"/>
      <c r="I167" s="9" t="e">
        <f>VLOOKUP(F167,'controle saldo'!A$2:N$245,14,FALSE)</f>
        <v>#N/A</v>
      </c>
      <c r="J167" s="10"/>
      <c r="K167" s="6"/>
      <c r="L167" s="6"/>
      <c r="M167" s="11" t="e">
        <f t="shared" si="2"/>
        <v>#N/A</v>
      </c>
      <c r="N167" s="12"/>
      <c r="O167" s="13"/>
      <c r="P167" s="6"/>
      <c r="Q167" s="6"/>
      <c r="R167" s="6"/>
    </row>
    <row r="168" spans="1:18" x14ac:dyDescent="0.25">
      <c r="A168" s="13"/>
      <c r="B168" s="13"/>
      <c r="C168" s="13"/>
      <c r="D168" s="6"/>
      <c r="E168" s="6"/>
      <c r="F168" s="7"/>
      <c r="G168" s="8" t="e">
        <f>VLOOKUP(F168,'controle saldo'!A$2:N$240,3,FALSE)</f>
        <v>#N/A</v>
      </c>
      <c r="H168" s="7"/>
      <c r="I168" s="9" t="e">
        <f>VLOOKUP(F168,'controle saldo'!A$2:N$245,14,FALSE)</f>
        <v>#N/A</v>
      </c>
      <c r="J168" s="10"/>
      <c r="K168" s="6"/>
      <c r="L168" s="6"/>
      <c r="M168" s="11" t="e">
        <f t="shared" si="2"/>
        <v>#N/A</v>
      </c>
      <c r="N168" s="12"/>
      <c r="O168" s="13"/>
      <c r="P168" s="6"/>
      <c r="Q168" s="6"/>
      <c r="R168" s="6"/>
    </row>
    <row r="169" spans="1:18" x14ac:dyDescent="0.25">
      <c r="A169" s="13"/>
      <c r="B169" s="13"/>
      <c r="C169" s="13"/>
      <c r="D169" s="6"/>
      <c r="E169" s="6"/>
      <c r="F169" s="7"/>
      <c r="G169" s="8" t="e">
        <f>VLOOKUP(F169,'controle saldo'!A$2:N$240,3,FALSE)</f>
        <v>#N/A</v>
      </c>
      <c r="H169" s="7"/>
      <c r="I169" s="9" t="e">
        <f>VLOOKUP(F169,'controle saldo'!A$2:N$245,14,FALSE)</f>
        <v>#N/A</v>
      </c>
      <c r="J169" s="10"/>
      <c r="K169" s="6"/>
      <c r="L169" s="6"/>
      <c r="M169" s="11" t="e">
        <f t="shared" si="2"/>
        <v>#N/A</v>
      </c>
      <c r="N169" s="12"/>
      <c r="O169" s="13"/>
      <c r="P169" s="6"/>
      <c r="Q169" s="6"/>
      <c r="R169" s="6"/>
    </row>
    <row r="170" spans="1:18" x14ac:dyDescent="0.25">
      <c r="A170" s="13"/>
      <c r="B170" s="13"/>
      <c r="C170" s="13"/>
      <c r="D170" s="6"/>
      <c r="E170" s="6"/>
      <c r="F170" s="7"/>
      <c r="G170" s="8" t="e">
        <f>VLOOKUP(F170,'controle saldo'!A$2:N$240,3,FALSE)</f>
        <v>#N/A</v>
      </c>
      <c r="H170" s="7"/>
      <c r="I170" s="9" t="e">
        <f>VLOOKUP(F170,'controle saldo'!A$2:N$245,14,FALSE)</f>
        <v>#N/A</v>
      </c>
      <c r="J170" s="10"/>
      <c r="K170" s="6"/>
      <c r="L170" s="6"/>
      <c r="M170" s="11" t="e">
        <f t="shared" si="2"/>
        <v>#N/A</v>
      </c>
      <c r="N170" s="12"/>
      <c r="O170" s="13"/>
      <c r="P170" s="6"/>
      <c r="Q170" s="6"/>
      <c r="R170" s="6"/>
    </row>
    <row r="171" spans="1:18" x14ac:dyDescent="0.25">
      <c r="A171" s="13"/>
      <c r="B171" s="13"/>
      <c r="C171" s="13"/>
      <c r="D171" s="6"/>
      <c r="E171" s="6"/>
      <c r="F171" s="7"/>
      <c r="G171" s="8" t="e">
        <f>VLOOKUP(F171,'controle saldo'!A$2:N$240,3,FALSE)</f>
        <v>#N/A</v>
      </c>
      <c r="H171" s="7"/>
      <c r="I171" s="9" t="e">
        <f>VLOOKUP(F171,'controle saldo'!A$2:N$245,14,FALSE)</f>
        <v>#N/A</v>
      </c>
      <c r="J171" s="10"/>
      <c r="K171" s="6"/>
      <c r="L171" s="6"/>
      <c r="M171" s="11" t="e">
        <f t="shared" si="2"/>
        <v>#N/A</v>
      </c>
      <c r="N171" s="12"/>
      <c r="O171" s="13"/>
      <c r="P171" s="6"/>
      <c r="Q171" s="6"/>
      <c r="R171" s="6"/>
    </row>
    <row r="172" spans="1:18" x14ac:dyDescent="0.25">
      <c r="A172" s="13"/>
      <c r="B172" s="13"/>
      <c r="C172" s="13"/>
      <c r="D172" s="6"/>
      <c r="E172" s="6"/>
      <c r="F172" s="7"/>
      <c r="G172" s="8" t="e">
        <f>VLOOKUP(F172,'controle saldo'!A$2:N$240,3,FALSE)</f>
        <v>#N/A</v>
      </c>
      <c r="H172" s="7"/>
      <c r="I172" s="9" t="e">
        <f>VLOOKUP(F172,'controle saldo'!A$2:N$245,14,FALSE)</f>
        <v>#N/A</v>
      </c>
      <c r="J172" s="10"/>
      <c r="K172" s="6"/>
      <c r="L172" s="6"/>
      <c r="M172" s="11" t="e">
        <f t="shared" si="2"/>
        <v>#N/A</v>
      </c>
      <c r="N172" s="12"/>
      <c r="O172" s="13"/>
      <c r="P172" s="6"/>
      <c r="Q172" s="6"/>
      <c r="R172" s="6"/>
    </row>
    <row r="173" spans="1:18" x14ac:dyDescent="0.25">
      <c r="A173" s="13"/>
      <c r="B173" s="13"/>
      <c r="C173" s="13"/>
      <c r="D173" s="6"/>
      <c r="E173" s="6"/>
      <c r="F173" s="7"/>
      <c r="G173" s="8" t="e">
        <f>VLOOKUP(F173,'controle saldo'!A$2:N$240,3,FALSE)</f>
        <v>#N/A</v>
      </c>
      <c r="H173" s="7"/>
      <c r="I173" s="9" t="e">
        <f>VLOOKUP(F173,'controle saldo'!A$2:N$245,14,FALSE)</f>
        <v>#N/A</v>
      </c>
      <c r="J173" s="10"/>
      <c r="K173" s="6"/>
      <c r="L173" s="6"/>
      <c r="M173" s="11" t="e">
        <f t="shared" si="2"/>
        <v>#N/A</v>
      </c>
      <c r="N173" s="12"/>
      <c r="O173" s="13"/>
      <c r="P173" s="6"/>
      <c r="Q173" s="6"/>
      <c r="R173" s="6"/>
    </row>
    <row r="174" spans="1:18" x14ac:dyDescent="0.25">
      <c r="A174" s="13"/>
      <c r="B174" s="13"/>
      <c r="C174" s="13"/>
      <c r="D174" s="6"/>
      <c r="E174" s="6"/>
      <c r="F174" s="7"/>
      <c r="G174" s="8" t="e">
        <f>VLOOKUP(F174,'controle saldo'!A$2:N$240,3,FALSE)</f>
        <v>#N/A</v>
      </c>
      <c r="H174" s="7"/>
      <c r="I174" s="9" t="e">
        <f>VLOOKUP(F174,'controle saldo'!A$2:N$245,14,FALSE)</f>
        <v>#N/A</v>
      </c>
      <c r="J174" s="10"/>
      <c r="K174" s="6"/>
      <c r="L174" s="6"/>
      <c r="M174" s="11" t="e">
        <f t="shared" si="2"/>
        <v>#N/A</v>
      </c>
      <c r="N174" s="12"/>
      <c r="O174" s="13"/>
      <c r="P174" s="6"/>
      <c r="Q174" s="6"/>
      <c r="R174" s="6"/>
    </row>
    <row r="175" spans="1:18" x14ac:dyDescent="0.25">
      <c r="A175" s="13"/>
      <c r="B175" s="13"/>
      <c r="C175" s="13"/>
      <c r="D175" s="6"/>
      <c r="E175" s="6"/>
      <c r="F175" s="7"/>
      <c r="G175" s="8" t="e">
        <f>VLOOKUP(F175,'controle saldo'!A$2:N$240,3,FALSE)</f>
        <v>#N/A</v>
      </c>
      <c r="H175" s="7"/>
      <c r="I175" s="9" t="e">
        <f>VLOOKUP(F175,'controle saldo'!A$2:N$245,14,FALSE)</f>
        <v>#N/A</v>
      </c>
      <c r="J175" s="10"/>
      <c r="K175" s="6"/>
      <c r="L175" s="6"/>
      <c r="M175" s="11" t="e">
        <f t="shared" si="2"/>
        <v>#N/A</v>
      </c>
      <c r="N175" s="12"/>
      <c r="O175" s="13"/>
      <c r="P175" s="6"/>
      <c r="Q175" s="6"/>
      <c r="R175" s="6"/>
    </row>
    <row r="176" spans="1:18" x14ac:dyDescent="0.25">
      <c r="A176" s="13"/>
      <c r="B176" s="13"/>
      <c r="C176" s="13"/>
      <c r="D176" s="6"/>
      <c r="E176" s="6"/>
      <c r="F176" s="7"/>
      <c r="G176" s="8" t="e">
        <f>VLOOKUP(F176,'controle saldo'!A$2:N$240,3,FALSE)</f>
        <v>#N/A</v>
      </c>
      <c r="H176" s="7"/>
      <c r="I176" s="9" t="e">
        <f>VLOOKUP(F176,'controle saldo'!A$2:N$245,14,FALSE)</f>
        <v>#N/A</v>
      </c>
      <c r="J176" s="10"/>
      <c r="K176" s="6"/>
      <c r="L176" s="6"/>
      <c r="M176" s="11" t="e">
        <f t="shared" si="2"/>
        <v>#N/A</v>
      </c>
      <c r="N176" s="12"/>
      <c r="O176" s="13"/>
      <c r="P176" s="6"/>
      <c r="Q176" s="6"/>
      <c r="R176" s="6"/>
    </row>
    <row r="177" spans="1:18" x14ac:dyDescent="0.25">
      <c r="A177" s="13"/>
      <c r="B177" s="13"/>
      <c r="C177" s="13"/>
      <c r="D177" s="6"/>
      <c r="E177" s="6"/>
      <c r="F177" s="7"/>
      <c r="G177" s="8" t="e">
        <f>VLOOKUP(F177,'controle saldo'!A$2:N$240,3,FALSE)</f>
        <v>#N/A</v>
      </c>
      <c r="H177" s="7"/>
      <c r="I177" s="9" t="e">
        <f>VLOOKUP(F177,'controle saldo'!A$2:N$245,14,FALSE)</f>
        <v>#N/A</v>
      </c>
      <c r="J177" s="10"/>
      <c r="K177" s="6"/>
      <c r="L177" s="6"/>
      <c r="M177" s="11" t="e">
        <f t="shared" si="2"/>
        <v>#N/A</v>
      </c>
      <c r="N177" s="12"/>
      <c r="O177" s="13"/>
      <c r="P177" s="6"/>
      <c r="Q177" s="6"/>
      <c r="R177" s="6"/>
    </row>
    <row r="178" spans="1:18" x14ac:dyDescent="0.25">
      <c r="A178" s="13"/>
      <c r="B178" s="13"/>
      <c r="C178" s="13"/>
      <c r="D178" s="6"/>
      <c r="E178" s="6"/>
      <c r="F178" s="7"/>
      <c r="G178" s="8" t="e">
        <f>VLOOKUP(F178,'controle saldo'!A$2:N$240,3,FALSE)</f>
        <v>#N/A</v>
      </c>
      <c r="H178" s="7"/>
      <c r="I178" s="9" t="e">
        <f>VLOOKUP(F178,'controle saldo'!A$2:N$245,14,FALSE)</f>
        <v>#N/A</v>
      </c>
      <c r="J178" s="10"/>
      <c r="K178" s="6"/>
      <c r="L178" s="6"/>
      <c r="M178" s="11" t="e">
        <f t="shared" si="2"/>
        <v>#N/A</v>
      </c>
      <c r="N178" s="12"/>
      <c r="O178" s="13"/>
      <c r="P178" s="6"/>
      <c r="Q178" s="6"/>
      <c r="R178" s="6"/>
    </row>
    <row r="179" spans="1:18" x14ac:dyDescent="0.25">
      <c r="A179" s="13"/>
      <c r="B179" s="13"/>
      <c r="C179" s="13"/>
      <c r="D179" s="6"/>
      <c r="E179" s="6"/>
      <c r="F179" s="7"/>
      <c r="G179" s="8" t="e">
        <f>VLOOKUP(F179,'controle saldo'!A$2:N$240,3,FALSE)</f>
        <v>#N/A</v>
      </c>
      <c r="H179" s="7"/>
      <c r="I179" s="9" t="e">
        <f>VLOOKUP(F179,'controle saldo'!A$2:N$245,14,FALSE)</f>
        <v>#N/A</v>
      </c>
      <c r="J179" s="10"/>
      <c r="K179" s="6"/>
      <c r="L179" s="6"/>
      <c r="M179" s="11" t="e">
        <f t="shared" si="2"/>
        <v>#N/A</v>
      </c>
      <c r="N179" s="12"/>
      <c r="O179" s="13"/>
      <c r="P179" s="6"/>
      <c r="Q179" s="6"/>
      <c r="R179" s="6"/>
    </row>
    <row r="180" spans="1:18" x14ac:dyDescent="0.25">
      <c r="A180" s="13"/>
      <c r="B180" s="13"/>
      <c r="C180" s="13"/>
      <c r="D180" s="6"/>
      <c r="E180" s="6"/>
      <c r="F180" s="7"/>
      <c r="G180" s="8" t="e">
        <f>VLOOKUP(F180,'controle saldo'!A$2:N$240,3,FALSE)</f>
        <v>#N/A</v>
      </c>
      <c r="H180" s="7"/>
      <c r="I180" s="9" t="e">
        <f>VLOOKUP(F180,'controle saldo'!A$2:N$245,14,FALSE)</f>
        <v>#N/A</v>
      </c>
      <c r="J180" s="10"/>
      <c r="K180" s="6"/>
      <c r="L180" s="6"/>
      <c r="M180" s="11" t="e">
        <f t="shared" si="2"/>
        <v>#N/A</v>
      </c>
      <c r="N180" s="12"/>
      <c r="O180" s="13"/>
      <c r="P180" s="6"/>
      <c r="Q180" s="6"/>
      <c r="R180" s="6"/>
    </row>
    <row r="181" spans="1:18" x14ac:dyDescent="0.25">
      <c r="A181" s="13"/>
      <c r="B181" s="13"/>
      <c r="C181" s="13"/>
      <c r="D181" s="6"/>
      <c r="E181" s="6"/>
      <c r="F181" s="7"/>
      <c r="G181" s="8" t="e">
        <f>VLOOKUP(F181,'controle saldo'!A$2:N$240,3,FALSE)</f>
        <v>#N/A</v>
      </c>
      <c r="H181" s="7"/>
      <c r="I181" s="9" t="e">
        <f>VLOOKUP(F181,'controle saldo'!A$2:N$245,14,FALSE)</f>
        <v>#N/A</v>
      </c>
      <c r="J181" s="10"/>
      <c r="K181" s="6"/>
      <c r="L181" s="6"/>
      <c r="M181" s="11" t="e">
        <f t="shared" si="2"/>
        <v>#N/A</v>
      </c>
      <c r="N181" s="12"/>
      <c r="O181" s="13"/>
      <c r="P181" s="6"/>
      <c r="Q181" s="6"/>
      <c r="R181" s="6"/>
    </row>
    <row r="182" spans="1:18" x14ac:dyDescent="0.25">
      <c r="A182" s="13"/>
      <c r="B182" s="13"/>
      <c r="C182" s="13"/>
      <c r="D182" s="6"/>
      <c r="E182" s="6"/>
      <c r="F182" s="7"/>
      <c r="G182" s="8" t="e">
        <f>VLOOKUP(F182,'controle saldo'!A$2:N$240,3,FALSE)</f>
        <v>#N/A</v>
      </c>
      <c r="H182" s="7"/>
      <c r="I182" s="9" t="e">
        <f>VLOOKUP(F182,'controle saldo'!A$2:N$245,14,FALSE)</f>
        <v>#N/A</v>
      </c>
      <c r="J182" s="10"/>
      <c r="K182" s="6"/>
      <c r="L182" s="6"/>
      <c r="M182" s="11" t="e">
        <f t="shared" si="2"/>
        <v>#N/A</v>
      </c>
      <c r="N182" s="12"/>
      <c r="O182" s="13"/>
      <c r="P182" s="6"/>
      <c r="Q182" s="6"/>
      <c r="R182" s="6"/>
    </row>
    <row r="183" spans="1:18" x14ac:dyDescent="0.25">
      <c r="A183" s="13"/>
      <c r="B183" s="13"/>
      <c r="C183" s="13"/>
      <c r="D183" s="6"/>
      <c r="E183" s="6"/>
      <c r="F183" s="7"/>
      <c r="G183" s="8" t="e">
        <f>VLOOKUP(F183,'controle saldo'!A$2:N$240,3,FALSE)</f>
        <v>#N/A</v>
      </c>
      <c r="H183" s="7"/>
      <c r="I183" s="9" t="e">
        <f>VLOOKUP(F183,'controle saldo'!A$2:N$245,14,FALSE)</f>
        <v>#N/A</v>
      </c>
      <c r="J183" s="10"/>
      <c r="K183" s="6"/>
      <c r="L183" s="6"/>
      <c r="M183" s="11" t="e">
        <f t="shared" si="2"/>
        <v>#N/A</v>
      </c>
      <c r="N183" s="12"/>
      <c r="O183" s="13"/>
      <c r="P183" s="6"/>
      <c r="Q183" s="6"/>
      <c r="R183" s="6"/>
    </row>
    <row r="184" spans="1:18" x14ac:dyDescent="0.25">
      <c r="A184" s="13"/>
      <c r="B184" s="13"/>
      <c r="C184" s="13"/>
      <c r="D184" s="6"/>
      <c r="E184" s="6"/>
      <c r="F184" s="7"/>
      <c r="G184" s="8" t="e">
        <f>VLOOKUP(F184,'controle saldo'!A$2:N$240,3,FALSE)</f>
        <v>#N/A</v>
      </c>
      <c r="H184" s="7"/>
      <c r="I184" s="9" t="e">
        <f>VLOOKUP(F184,'controle saldo'!A$2:N$245,14,FALSE)</f>
        <v>#N/A</v>
      </c>
      <c r="J184" s="10"/>
      <c r="K184" s="6"/>
      <c r="L184" s="6"/>
      <c r="M184" s="11" t="e">
        <f t="shared" si="2"/>
        <v>#N/A</v>
      </c>
      <c r="N184" s="12"/>
      <c r="O184" s="13"/>
      <c r="P184" s="6"/>
      <c r="Q184" s="6"/>
      <c r="R184" s="6"/>
    </row>
    <row r="185" spans="1:18" x14ac:dyDescent="0.25">
      <c r="A185" s="13"/>
      <c r="B185" s="13"/>
      <c r="C185" s="13"/>
      <c r="D185" s="6"/>
      <c r="E185" s="6"/>
      <c r="F185" s="7"/>
      <c r="G185" s="8" t="e">
        <f>VLOOKUP(F185,'controle saldo'!A$2:N$240,3,FALSE)</f>
        <v>#N/A</v>
      </c>
      <c r="H185" s="7"/>
      <c r="I185" s="9" t="e">
        <f>VLOOKUP(F185,'controle saldo'!A$2:N$245,14,FALSE)</f>
        <v>#N/A</v>
      </c>
      <c r="J185" s="10"/>
      <c r="K185" s="6"/>
      <c r="L185" s="6"/>
      <c r="M185" s="11" t="e">
        <f t="shared" si="2"/>
        <v>#N/A</v>
      </c>
      <c r="N185" s="12"/>
      <c r="O185" s="13"/>
      <c r="P185" s="6"/>
      <c r="Q185" s="6"/>
      <c r="R185" s="6"/>
    </row>
    <row r="186" spans="1:18" x14ac:dyDescent="0.25">
      <c r="A186" s="13"/>
      <c r="B186" s="13"/>
      <c r="C186" s="13"/>
      <c r="D186" s="6"/>
      <c r="E186" s="6"/>
      <c r="F186" s="7"/>
      <c r="G186" s="8" t="e">
        <f>VLOOKUP(F186,'controle saldo'!A$2:N$240,3,FALSE)</f>
        <v>#N/A</v>
      </c>
      <c r="H186" s="7"/>
      <c r="I186" s="9" t="e">
        <f>VLOOKUP(F186,'controle saldo'!A$2:N$245,14,FALSE)</f>
        <v>#N/A</v>
      </c>
      <c r="J186" s="10"/>
      <c r="K186" s="6"/>
      <c r="L186" s="6"/>
      <c r="M186" s="11" t="e">
        <f t="shared" si="2"/>
        <v>#N/A</v>
      </c>
      <c r="N186" s="12"/>
      <c r="O186" s="13"/>
      <c r="P186" s="6"/>
      <c r="Q186" s="6"/>
      <c r="R186" s="6"/>
    </row>
    <row r="187" spans="1:18" x14ac:dyDescent="0.25">
      <c r="A187" s="13"/>
      <c r="B187" s="13"/>
      <c r="C187" s="13"/>
      <c r="D187" s="6"/>
      <c r="E187" s="6"/>
      <c r="F187" s="7"/>
      <c r="G187" s="8" t="e">
        <f>VLOOKUP(F187,'controle saldo'!A$2:N$240,3,FALSE)</f>
        <v>#N/A</v>
      </c>
      <c r="H187" s="7"/>
      <c r="I187" s="9" t="e">
        <f>VLOOKUP(F187,'controle saldo'!A$2:N$245,14,FALSE)</f>
        <v>#N/A</v>
      </c>
      <c r="J187" s="10"/>
      <c r="K187" s="6"/>
      <c r="L187" s="6"/>
      <c r="M187" s="11" t="e">
        <f t="shared" si="2"/>
        <v>#N/A</v>
      </c>
      <c r="N187" s="12"/>
      <c r="O187" s="13"/>
      <c r="P187" s="6"/>
      <c r="Q187" s="6"/>
      <c r="R187" s="6"/>
    </row>
    <row r="188" spans="1:18" x14ac:dyDescent="0.25">
      <c r="A188" s="13"/>
      <c r="B188" s="13"/>
      <c r="C188" s="13"/>
      <c r="D188" s="6"/>
      <c r="E188" s="6"/>
      <c r="F188" s="7"/>
      <c r="G188" s="8" t="e">
        <f>VLOOKUP(F188,'controle saldo'!A$2:N$240,3,FALSE)</f>
        <v>#N/A</v>
      </c>
      <c r="H188" s="7"/>
      <c r="I188" s="9" t="e">
        <f>VLOOKUP(F188,'controle saldo'!A$2:N$245,14,FALSE)</f>
        <v>#N/A</v>
      </c>
      <c r="J188" s="10"/>
      <c r="K188" s="6"/>
      <c r="L188" s="6"/>
      <c r="M188" s="11" t="e">
        <f t="shared" si="2"/>
        <v>#N/A</v>
      </c>
      <c r="N188" s="12"/>
      <c r="O188" s="13"/>
      <c r="P188" s="6"/>
      <c r="Q188" s="6"/>
      <c r="R188" s="6"/>
    </row>
    <row r="189" spans="1:18" x14ac:dyDescent="0.25">
      <c r="A189" s="13"/>
      <c r="B189" s="13"/>
      <c r="C189" s="13"/>
      <c r="D189" s="6"/>
      <c r="E189" s="6"/>
      <c r="F189" s="7"/>
      <c r="G189" s="8" t="e">
        <f>VLOOKUP(F189,'controle saldo'!A$2:N$240,3,FALSE)</f>
        <v>#N/A</v>
      </c>
      <c r="H189" s="7"/>
      <c r="I189" s="9" t="e">
        <f>VLOOKUP(F189,'controle saldo'!A$2:N$245,14,FALSE)</f>
        <v>#N/A</v>
      </c>
      <c r="J189" s="10"/>
      <c r="K189" s="6"/>
      <c r="L189" s="6"/>
      <c r="M189" s="11" t="e">
        <f t="shared" si="2"/>
        <v>#N/A</v>
      </c>
      <c r="N189" s="12"/>
      <c r="O189" s="13"/>
      <c r="P189" s="6"/>
      <c r="Q189" s="6"/>
      <c r="R189" s="6"/>
    </row>
    <row r="190" spans="1:18" x14ac:dyDescent="0.25">
      <c r="A190" s="13"/>
      <c r="B190" s="13"/>
      <c r="C190" s="13"/>
      <c r="D190" s="6"/>
      <c r="E190" s="6"/>
      <c r="F190" s="7"/>
      <c r="G190" s="8" t="e">
        <f>VLOOKUP(F190,'controle saldo'!A$2:N$240,3,FALSE)</f>
        <v>#N/A</v>
      </c>
      <c r="H190" s="7"/>
      <c r="I190" s="9" t="e">
        <f>VLOOKUP(F190,'controle saldo'!A$2:N$245,14,FALSE)</f>
        <v>#N/A</v>
      </c>
      <c r="J190" s="10"/>
      <c r="K190" s="6"/>
      <c r="L190" s="6"/>
      <c r="M190" s="11" t="e">
        <f t="shared" si="2"/>
        <v>#N/A</v>
      </c>
      <c r="N190" s="12"/>
      <c r="O190" s="13"/>
      <c r="P190" s="6"/>
      <c r="Q190" s="6"/>
      <c r="R190" s="6"/>
    </row>
    <row r="191" spans="1:18" x14ac:dyDescent="0.25">
      <c r="A191" s="13"/>
      <c r="B191" s="13"/>
      <c r="C191" s="13"/>
      <c r="D191" s="6"/>
      <c r="E191" s="6"/>
      <c r="F191" s="7"/>
      <c r="G191" s="8" t="e">
        <f>VLOOKUP(F191,'controle saldo'!A$2:N$240,3,FALSE)</f>
        <v>#N/A</v>
      </c>
      <c r="H191" s="7"/>
      <c r="I191" s="9" t="e">
        <f>VLOOKUP(F191,'controle saldo'!A$2:N$245,14,FALSE)</f>
        <v>#N/A</v>
      </c>
      <c r="J191" s="10"/>
      <c r="K191" s="6"/>
      <c r="L191" s="6"/>
      <c r="M191" s="11" t="e">
        <f t="shared" si="2"/>
        <v>#N/A</v>
      </c>
      <c r="N191" s="12"/>
      <c r="O191" s="13"/>
      <c r="P191" s="6"/>
      <c r="Q191" s="6"/>
      <c r="R191" s="6"/>
    </row>
    <row r="192" spans="1:18" x14ac:dyDescent="0.25">
      <c r="A192" s="13"/>
      <c r="B192" s="13"/>
      <c r="C192" s="13"/>
      <c r="D192" s="6"/>
      <c r="E192" s="6"/>
      <c r="F192" s="7"/>
      <c r="G192" s="8" t="e">
        <f>VLOOKUP(F192,'controle saldo'!A$2:N$240,3,FALSE)</f>
        <v>#N/A</v>
      </c>
      <c r="H192" s="7"/>
      <c r="I192" s="9" t="e">
        <f>VLOOKUP(F192,'controle saldo'!A$2:N$245,14,FALSE)</f>
        <v>#N/A</v>
      </c>
      <c r="J192" s="10"/>
      <c r="K192" s="6"/>
      <c r="L192" s="6"/>
      <c r="M192" s="11" t="e">
        <f t="shared" si="2"/>
        <v>#N/A</v>
      </c>
      <c r="N192" s="12"/>
      <c r="O192" s="13"/>
      <c r="P192" s="6"/>
      <c r="Q192" s="6"/>
      <c r="R192" s="6"/>
    </row>
    <row r="193" spans="1:18" x14ac:dyDescent="0.25">
      <c r="A193" s="13"/>
      <c r="B193" s="13"/>
      <c r="C193" s="13"/>
      <c r="D193" s="6"/>
      <c r="E193" s="6"/>
      <c r="F193" s="7"/>
      <c r="G193" s="8" t="e">
        <f>VLOOKUP(F193,'controle saldo'!A$2:N$240,3,FALSE)</f>
        <v>#N/A</v>
      </c>
      <c r="H193" s="7"/>
      <c r="I193" s="9" t="e">
        <f>VLOOKUP(F193,'controle saldo'!A$2:N$245,14,FALSE)</f>
        <v>#N/A</v>
      </c>
      <c r="J193" s="10"/>
      <c r="K193" s="6"/>
      <c r="L193" s="6"/>
      <c r="M193" s="11" t="e">
        <f t="shared" si="2"/>
        <v>#N/A</v>
      </c>
      <c r="N193" s="12"/>
      <c r="O193" s="13"/>
      <c r="P193" s="6"/>
      <c r="Q193" s="6"/>
      <c r="R193" s="6"/>
    </row>
    <row r="194" spans="1:18" x14ac:dyDescent="0.25">
      <c r="A194" s="13"/>
      <c r="B194" s="13"/>
      <c r="C194" s="13"/>
      <c r="D194" s="6"/>
      <c r="E194" s="6"/>
      <c r="F194" s="7"/>
      <c r="G194" s="8" t="e">
        <f>VLOOKUP(F194,'controle saldo'!A$2:N$240,3,FALSE)</f>
        <v>#N/A</v>
      </c>
      <c r="H194" s="7"/>
      <c r="I194" s="9" t="e">
        <f>VLOOKUP(F194,'controle saldo'!A$2:N$245,14,FALSE)</f>
        <v>#N/A</v>
      </c>
      <c r="J194" s="10"/>
      <c r="K194" s="6"/>
      <c r="L194" s="6"/>
      <c r="M194" s="11" t="e">
        <f t="shared" si="2"/>
        <v>#N/A</v>
      </c>
      <c r="N194" s="12"/>
      <c r="O194" s="13"/>
      <c r="P194" s="6"/>
      <c r="Q194" s="6"/>
      <c r="R194" s="6"/>
    </row>
    <row r="195" spans="1:18" x14ac:dyDescent="0.25">
      <c r="A195" s="13"/>
      <c r="B195" s="13"/>
      <c r="C195" s="13"/>
      <c r="D195" s="6"/>
      <c r="E195" s="6"/>
      <c r="F195" s="7"/>
      <c r="G195" s="8" t="e">
        <f>VLOOKUP(F195,'controle saldo'!A$2:N$240,3,FALSE)</f>
        <v>#N/A</v>
      </c>
      <c r="H195" s="7"/>
      <c r="I195" s="9" t="e">
        <f>VLOOKUP(F195,'controle saldo'!A$2:N$245,14,FALSE)</f>
        <v>#N/A</v>
      </c>
      <c r="J195" s="10"/>
      <c r="K195" s="6"/>
      <c r="L195" s="6"/>
      <c r="M195" s="11" t="e">
        <f t="shared" ref="M195:M258" si="3">I195*L195</f>
        <v>#N/A</v>
      </c>
      <c r="N195" s="12"/>
      <c r="O195" s="13"/>
      <c r="P195" s="6"/>
      <c r="Q195" s="6"/>
      <c r="R195" s="6"/>
    </row>
    <row r="196" spans="1:18" x14ac:dyDescent="0.25">
      <c r="A196" s="13"/>
      <c r="B196" s="13"/>
      <c r="C196" s="13"/>
      <c r="D196" s="6"/>
      <c r="E196" s="6"/>
      <c r="F196" s="7"/>
      <c r="G196" s="8" t="e">
        <f>VLOOKUP(F196,'controle saldo'!A$2:N$240,3,FALSE)</f>
        <v>#N/A</v>
      </c>
      <c r="H196" s="7"/>
      <c r="I196" s="9" t="e">
        <f>VLOOKUP(F196,'controle saldo'!A$2:N$245,14,FALSE)</f>
        <v>#N/A</v>
      </c>
      <c r="J196" s="10"/>
      <c r="K196" s="6"/>
      <c r="L196" s="6"/>
      <c r="M196" s="11" t="e">
        <f t="shared" si="3"/>
        <v>#N/A</v>
      </c>
      <c r="N196" s="12"/>
      <c r="O196" s="13"/>
      <c r="P196" s="6"/>
      <c r="Q196" s="6"/>
      <c r="R196" s="6"/>
    </row>
    <row r="197" spans="1:18" x14ac:dyDescent="0.25">
      <c r="A197" s="13"/>
      <c r="B197" s="13"/>
      <c r="C197" s="13"/>
      <c r="D197" s="6"/>
      <c r="E197" s="6"/>
      <c r="F197" s="7"/>
      <c r="G197" s="8" t="e">
        <f>VLOOKUP(F197,'controle saldo'!A$2:N$240,3,FALSE)</f>
        <v>#N/A</v>
      </c>
      <c r="H197" s="7"/>
      <c r="I197" s="9" t="e">
        <f>VLOOKUP(F197,'controle saldo'!A$2:N$245,14,FALSE)</f>
        <v>#N/A</v>
      </c>
      <c r="J197" s="10"/>
      <c r="K197" s="6"/>
      <c r="L197" s="6"/>
      <c r="M197" s="11" t="e">
        <f t="shared" si="3"/>
        <v>#N/A</v>
      </c>
      <c r="N197" s="12"/>
      <c r="O197" s="13"/>
      <c r="P197" s="6"/>
      <c r="Q197" s="6"/>
      <c r="R197" s="6"/>
    </row>
    <row r="198" spans="1:18" x14ac:dyDescent="0.25">
      <c r="A198" s="13"/>
      <c r="B198" s="13"/>
      <c r="C198" s="13"/>
      <c r="D198" s="6"/>
      <c r="E198" s="6"/>
      <c r="F198" s="7"/>
      <c r="G198" s="8" t="e">
        <f>VLOOKUP(F198,'controle saldo'!A$2:N$240,3,FALSE)</f>
        <v>#N/A</v>
      </c>
      <c r="H198" s="7"/>
      <c r="I198" s="9" t="e">
        <f>VLOOKUP(F198,'controle saldo'!A$2:N$245,14,FALSE)</f>
        <v>#N/A</v>
      </c>
      <c r="J198" s="10"/>
      <c r="K198" s="6"/>
      <c r="L198" s="6"/>
      <c r="M198" s="11" t="e">
        <f t="shared" si="3"/>
        <v>#N/A</v>
      </c>
      <c r="N198" s="12"/>
      <c r="O198" s="13"/>
      <c r="P198" s="6"/>
      <c r="Q198" s="6"/>
      <c r="R198" s="6"/>
    </row>
    <row r="199" spans="1:18" x14ac:dyDescent="0.25">
      <c r="A199" s="13"/>
      <c r="B199" s="13"/>
      <c r="C199" s="13"/>
      <c r="D199" s="6"/>
      <c r="E199" s="6"/>
      <c r="F199" s="7"/>
      <c r="G199" s="8" t="e">
        <f>VLOOKUP(F199,'controle saldo'!A$2:N$240,3,FALSE)</f>
        <v>#N/A</v>
      </c>
      <c r="H199" s="7"/>
      <c r="I199" s="9" t="e">
        <f>VLOOKUP(F199,'controle saldo'!A$2:N$245,14,FALSE)</f>
        <v>#N/A</v>
      </c>
      <c r="J199" s="10"/>
      <c r="K199" s="6"/>
      <c r="L199" s="6"/>
      <c r="M199" s="11" t="e">
        <f t="shared" si="3"/>
        <v>#N/A</v>
      </c>
      <c r="N199" s="12"/>
      <c r="O199" s="13"/>
      <c r="P199" s="6"/>
      <c r="Q199" s="6"/>
      <c r="R199" s="6"/>
    </row>
    <row r="200" spans="1:18" x14ac:dyDescent="0.25">
      <c r="A200" s="13"/>
      <c r="B200" s="13"/>
      <c r="C200" s="13"/>
      <c r="D200" s="6"/>
      <c r="E200" s="6"/>
      <c r="F200" s="7"/>
      <c r="G200" s="8" t="e">
        <f>VLOOKUP(F200,'controle saldo'!A$2:N$240,3,FALSE)</f>
        <v>#N/A</v>
      </c>
      <c r="H200" s="7"/>
      <c r="I200" s="9" t="e">
        <f>VLOOKUP(F200,'controle saldo'!A$2:N$245,14,FALSE)</f>
        <v>#N/A</v>
      </c>
      <c r="J200" s="10"/>
      <c r="K200" s="6"/>
      <c r="L200" s="6"/>
      <c r="M200" s="11" t="e">
        <f t="shared" si="3"/>
        <v>#N/A</v>
      </c>
      <c r="N200" s="12"/>
      <c r="O200" s="13"/>
      <c r="P200" s="6"/>
      <c r="Q200" s="6"/>
      <c r="R200" s="6"/>
    </row>
    <row r="201" spans="1:18" x14ac:dyDescent="0.25">
      <c r="A201" s="13"/>
      <c r="B201" s="13"/>
      <c r="C201" s="13"/>
      <c r="D201" s="6"/>
      <c r="E201" s="6"/>
      <c r="F201" s="7"/>
      <c r="G201" s="8" t="e">
        <f>VLOOKUP(F201,'controle saldo'!A$2:N$240,3,FALSE)</f>
        <v>#N/A</v>
      </c>
      <c r="H201" s="7"/>
      <c r="I201" s="9" t="e">
        <f>VLOOKUP(F201,'controle saldo'!A$2:N$245,14,FALSE)</f>
        <v>#N/A</v>
      </c>
      <c r="J201" s="10"/>
      <c r="K201" s="6"/>
      <c r="L201" s="6"/>
      <c r="M201" s="11" t="e">
        <f t="shared" si="3"/>
        <v>#N/A</v>
      </c>
      <c r="N201" s="12"/>
      <c r="O201" s="13"/>
      <c r="P201" s="6"/>
      <c r="Q201" s="6"/>
      <c r="R201" s="6"/>
    </row>
    <row r="202" spans="1:18" x14ac:dyDescent="0.25">
      <c r="A202" s="13"/>
      <c r="B202" s="13"/>
      <c r="C202" s="13"/>
      <c r="D202" s="6"/>
      <c r="E202" s="6"/>
      <c r="F202" s="7"/>
      <c r="G202" s="8" t="e">
        <f>VLOOKUP(F202,'controle saldo'!A$2:N$240,3,FALSE)</f>
        <v>#N/A</v>
      </c>
      <c r="H202" s="7"/>
      <c r="I202" s="9" t="e">
        <f>VLOOKUP(F202,'controle saldo'!A$2:N$245,14,FALSE)</f>
        <v>#N/A</v>
      </c>
      <c r="J202" s="10"/>
      <c r="K202" s="6"/>
      <c r="L202" s="6"/>
      <c r="M202" s="11" t="e">
        <f t="shared" si="3"/>
        <v>#N/A</v>
      </c>
      <c r="N202" s="12"/>
      <c r="O202" s="13"/>
      <c r="P202" s="6"/>
      <c r="Q202" s="6"/>
      <c r="R202" s="6"/>
    </row>
    <row r="203" spans="1:18" x14ac:dyDescent="0.25">
      <c r="A203" s="13"/>
      <c r="B203" s="13"/>
      <c r="C203" s="13"/>
      <c r="D203" s="6"/>
      <c r="E203" s="6"/>
      <c r="F203" s="7"/>
      <c r="G203" s="8" t="e">
        <f>VLOOKUP(F203,'controle saldo'!A$2:N$240,3,FALSE)</f>
        <v>#N/A</v>
      </c>
      <c r="H203" s="7"/>
      <c r="I203" s="9" t="e">
        <f>VLOOKUP(F203,'controle saldo'!A$2:N$245,14,FALSE)</f>
        <v>#N/A</v>
      </c>
      <c r="J203" s="10"/>
      <c r="K203" s="6"/>
      <c r="L203" s="6"/>
      <c r="M203" s="11" t="e">
        <f t="shared" si="3"/>
        <v>#N/A</v>
      </c>
      <c r="N203" s="12"/>
      <c r="O203" s="13"/>
      <c r="P203" s="6"/>
      <c r="Q203" s="6"/>
      <c r="R203" s="6"/>
    </row>
    <row r="204" spans="1:18" x14ac:dyDescent="0.25">
      <c r="A204" s="13"/>
      <c r="B204" s="13"/>
      <c r="C204" s="13"/>
      <c r="D204" s="6"/>
      <c r="E204" s="6"/>
      <c r="F204" s="7"/>
      <c r="G204" s="8" t="e">
        <f>VLOOKUP(F204,'controle saldo'!A$2:N$240,3,FALSE)</f>
        <v>#N/A</v>
      </c>
      <c r="H204" s="7"/>
      <c r="I204" s="9" t="e">
        <f>VLOOKUP(F204,'controle saldo'!A$2:N$245,14,FALSE)</f>
        <v>#N/A</v>
      </c>
      <c r="J204" s="10"/>
      <c r="K204" s="6"/>
      <c r="L204" s="6"/>
      <c r="M204" s="11" t="e">
        <f t="shared" si="3"/>
        <v>#N/A</v>
      </c>
      <c r="N204" s="12"/>
      <c r="O204" s="13"/>
      <c r="P204" s="6"/>
      <c r="Q204" s="6"/>
      <c r="R204" s="6"/>
    </row>
    <row r="205" spans="1:18" x14ac:dyDescent="0.25">
      <c r="A205" s="13"/>
      <c r="B205" s="13"/>
      <c r="C205" s="13"/>
      <c r="D205" s="6"/>
      <c r="E205" s="6"/>
      <c r="F205" s="7"/>
      <c r="G205" s="8" t="e">
        <f>VLOOKUP(F205,'controle saldo'!A$2:N$240,3,FALSE)</f>
        <v>#N/A</v>
      </c>
      <c r="H205" s="7"/>
      <c r="I205" s="9" t="e">
        <f>VLOOKUP(F205,'controle saldo'!A$2:N$245,14,FALSE)</f>
        <v>#N/A</v>
      </c>
      <c r="J205" s="10"/>
      <c r="K205" s="6"/>
      <c r="L205" s="6"/>
      <c r="M205" s="11" t="e">
        <f t="shared" si="3"/>
        <v>#N/A</v>
      </c>
      <c r="N205" s="12"/>
      <c r="O205" s="13"/>
      <c r="P205" s="6"/>
      <c r="Q205" s="6"/>
      <c r="R205" s="6"/>
    </row>
    <row r="206" spans="1:18" x14ac:dyDescent="0.25">
      <c r="A206" s="13"/>
      <c r="B206" s="13"/>
      <c r="C206" s="13"/>
      <c r="D206" s="6"/>
      <c r="E206" s="6"/>
      <c r="F206" s="7"/>
      <c r="G206" s="8" t="e">
        <f>VLOOKUP(F206,'controle saldo'!A$2:N$240,3,FALSE)</f>
        <v>#N/A</v>
      </c>
      <c r="H206" s="7"/>
      <c r="I206" s="9" t="e">
        <f>VLOOKUP(F206,'controle saldo'!A$2:N$245,14,FALSE)</f>
        <v>#N/A</v>
      </c>
      <c r="J206" s="10"/>
      <c r="K206" s="6"/>
      <c r="L206" s="6"/>
      <c r="M206" s="11" t="e">
        <f t="shared" si="3"/>
        <v>#N/A</v>
      </c>
      <c r="N206" s="12"/>
      <c r="O206" s="13"/>
      <c r="P206" s="6"/>
      <c r="Q206" s="6"/>
      <c r="R206" s="6"/>
    </row>
    <row r="207" spans="1:18" x14ac:dyDescent="0.25">
      <c r="A207" s="13"/>
      <c r="B207" s="13"/>
      <c r="C207" s="13"/>
      <c r="D207" s="6"/>
      <c r="E207" s="6"/>
      <c r="F207" s="7"/>
      <c r="G207" s="8" t="e">
        <f>VLOOKUP(F207,'controle saldo'!A$2:N$240,3,FALSE)</f>
        <v>#N/A</v>
      </c>
      <c r="H207" s="7"/>
      <c r="I207" s="9" t="e">
        <f>VLOOKUP(F207,'controle saldo'!A$2:N$245,14,FALSE)</f>
        <v>#N/A</v>
      </c>
      <c r="J207" s="10"/>
      <c r="K207" s="6"/>
      <c r="L207" s="6"/>
      <c r="M207" s="11" t="e">
        <f t="shared" si="3"/>
        <v>#N/A</v>
      </c>
      <c r="N207" s="12"/>
      <c r="O207" s="13"/>
      <c r="P207" s="6"/>
      <c r="Q207" s="6"/>
      <c r="R207" s="6"/>
    </row>
    <row r="208" spans="1:18" x14ac:dyDescent="0.25">
      <c r="A208" s="13"/>
      <c r="B208" s="13"/>
      <c r="C208" s="13"/>
      <c r="D208" s="6"/>
      <c r="E208" s="6"/>
      <c r="F208" s="7"/>
      <c r="G208" s="8" t="e">
        <f>VLOOKUP(F208,'controle saldo'!A$2:N$240,3,FALSE)</f>
        <v>#N/A</v>
      </c>
      <c r="H208" s="7"/>
      <c r="I208" s="9" t="e">
        <f>VLOOKUP(F208,'controle saldo'!A$2:N$245,14,FALSE)</f>
        <v>#N/A</v>
      </c>
      <c r="J208" s="10"/>
      <c r="K208" s="6"/>
      <c r="L208" s="6"/>
      <c r="M208" s="11" t="e">
        <f t="shared" si="3"/>
        <v>#N/A</v>
      </c>
      <c r="N208" s="12"/>
      <c r="O208" s="13"/>
      <c r="P208" s="6"/>
      <c r="Q208" s="6"/>
      <c r="R208" s="6"/>
    </row>
    <row r="209" spans="1:18" x14ac:dyDescent="0.25">
      <c r="A209" s="13"/>
      <c r="B209" s="13"/>
      <c r="C209" s="13"/>
      <c r="D209" s="6"/>
      <c r="E209" s="6"/>
      <c r="F209" s="7"/>
      <c r="G209" s="8" t="e">
        <f>VLOOKUP(F209,'controle saldo'!A$2:N$240,3,FALSE)</f>
        <v>#N/A</v>
      </c>
      <c r="H209" s="7"/>
      <c r="I209" s="9" t="e">
        <f>VLOOKUP(F209,'controle saldo'!A$2:N$245,14,FALSE)</f>
        <v>#N/A</v>
      </c>
      <c r="J209" s="10"/>
      <c r="K209" s="6"/>
      <c r="L209" s="6"/>
      <c r="M209" s="11" t="e">
        <f t="shared" si="3"/>
        <v>#N/A</v>
      </c>
      <c r="N209" s="12"/>
      <c r="O209" s="13"/>
      <c r="P209" s="6"/>
      <c r="Q209" s="6"/>
      <c r="R209" s="6"/>
    </row>
    <row r="210" spans="1:18" x14ac:dyDescent="0.25">
      <c r="A210" s="13"/>
      <c r="B210" s="13"/>
      <c r="C210" s="13"/>
      <c r="D210" s="6"/>
      <c r="E210" s="6"/>
      <c r="F210" s="7"/>
      <c r="G210" s="8" t="e">
        <f>VLOOKUP(F210,'controle saldo'!A$2:N$240,3,FALSE)</f>
        <v>#N/A</v>
      </c>
      <c r="H210" s="7"/>
      <c r="I210" s="9" t="e">
        <f>VLOOKUP(F210,'controle saldo'!A$2:N$245,14,FALSE)</f>
        <v>#N/A</v>
      </c>
      <c r="J210" s="10"/>
      <c r="K210" s="6"/>
      <c r="L210" s="6"/>
      <c r="M210" s="11" t="e">
        <f t="shared" si="3"/>
        <v>#N/A</v>
      </c>
      <c r="N210" s="12"/>
      <c r="O210" s="13"/>
      <c r="P210" s="6"/>
      <c r="Q210" s="6"/>
      <c r="R210" s="6"/>
    </row>
    <row r="211" spans="1:18" x14ac:dyDescent="0.25">
      <c r="A211" s="13"/>
      <c r="B211" s="13"/>
      <c r="C211" s="13"/>
      <c r="D211" s="6"/>
      <c r="E211" s="6"/>
      <c r="F211" s="7"/>
      <c r="G211" s="8" t="e">
        <f>VLOOKUP(F211,'controle saldo'!A$2:N$240,3,FALSE)</f>
        <v>#N/A</v>
      </c>
      <c r="H211" s="7"/>
      <c r="I211" s="9" t="e">
        <f>VLOOKUP(F211,'controle saldo'!A$2:N$245,14,FALSE)</f>
        <v>#N/A</v>
      </c>
      <c r="J211" s="10"/>
      <c r="K211" s="6"/>
      <c r="L211" s="6"/>
      <c r="M211" s="11" t="e">
        <f t="shared" si="3"/>
        <v>#N/A</v>
      </c>
      <c r="N211" s="12"/>
      <c r="O211" s="13"/>
      <c r="P211" s="6"/>
      <c r="Q211" s="6"/>
      <c r="R211" s="6"/>
    </row>
    <row r="212" spans="1:18" x14ac:dyDescent="0.25">
      <c r="A212" s="13"/>
      <c r="B212" s="13"/>
      <c r="C212" s="13"/>
      <c r="D212" s="6"/>
      <c r="E212" s="6"/>
      <c r="F212" s="7"/>
      <c r="G212" s="8" t="e">
        <f>VLOOKUP(F212,'controle saldo'!A$2:N$240,3,FALSE)</f>
        <v>#N/A</v>
      </c>
      <c r="H212" s="7"/>
      <c r="I212" s="9" t="e">
        <f>VLOOKUP(F212,'controle saldo'!A$2:N$245,14,FALSE)</f>
        <v>#N/A</v>
      </c>
      <c r="J212" s="10"/>
      <c r="K212" s="6"/>
      <c r="L212" s="6"/>
      <c r="M212" s="11" t="e">
        <f t="shared" si="3"/>
        <v>#N/A</v>
      </c>
      <c r="N212" s="12"/>
      <c r="O212" s="13"/>
      <c r="P212" s="6"/>
      <c r="Q212" s="6"/>
      <c r="R212" s="6"/>
    </row>
    <row r="213" spans="1:18" x14ac:dyDescent="0.25">
      <c r="A213" s="13"/>
      <c r="B213" s="13"/>
      <c r="C213" s="13"/>
      <c r="D213" s="6"/>
      <c r="E213" s="6"/>
      <c r="F213" s="7"/>
      <c r="G213" s="8" t="e">
        <f>VLOOKUP(F213,'controle saldo'!A$2:N$240,3,FALSE)</f>
        <v>#N/A</v>
      </c>
      <c r="H213" s="7"/>
      <c r="I213" s="9" t="e">
        <f>VLOOKUP(F213,'controle saldo'!A$2:N$245,14,FALSE)</f>
        <v>#N/A</v>
      </c>
      <c r="J213" s="10"/>
      <c r="K213" s="6"/>
      <c r="L213" s="6"/>
      <c r="M213" s="11" t="e">
        <f t="shared" si="3"/>
        <v>#N/A</v>
      </c>
      <c r="N213" s="12"/>
      <c r="O213" s="13"/>
      <c r="P213" s="6"/>
      <c r="Q213" s="6"/>
      <c r="R213" s="6"/>
    </row>
    <row r="214" spans="1:18" x14ac:dyDescent="0.25">
      <c r="A214" s="13"/>
      <c r="B214" s="13"/>
      <c r="C214" s="13"/>
      <c r="D214" s="6"/>
      <c r="E214" s="6"/>
      <c r="F214" s="7"/>
      <c r="G214" s="8" t="e">
        <f>VLOOKUP(F214,'controle saldo'!A$2:N$240,3,FALSE)</f>
        <v>#N/A</v>
      </c>
      <c r="H214" s="7"/>
      <c r="I214" s="9" t="e">
        <f>VLOOKUP(F214,'controle saldo'!A$2:N$245,14,FALSE)</f>
        <v>#N/A</v>
      </c>
      <c r="J214" s="10"/>
      <c r="K214" s="6"/>
      <c r="L214" s="6"/>
      <c r="M214" s="11" t="e">
        <f t="shared" si="3"/>
        <v>#N/A</v>
      </c>
      <c r="N214" s="12"/>
      <c r="O214" s="13"/>
      <c r="P214" s="6"/>
      <c r="Q214" s="6"/>
      <c r="R214" s="6"/>
    </row>
    <row r="215" spans="1:18" x14ac:dyDescent="0.25">
      <c r="A215" s="13"/>
      <c r="B215" s="13"/>
      <c r="C215" s="13"/>
      <c r="D215" s="6"/>
      <c r="E215" s="6"/>
      <c r="F215" s="7"/>
      <c r="G215" s="8" t="e">
        <f>VLOOKUP(F215,'controle saldo'!A$2:N$240,3,FALSE)</f>
        <v>#N/A</v>
      </c>
      <c r="H215" s="7"/>
      <c r="I215" s="9" t="e">
        <f>VLOOKUP(F215,'controle saldo'!A$2:N$245,14,FALSE)</f>
        <v>#N/A</v>
      </c>
      <c r="J215" s="10"/>
      <c r="K215" s="6"/>
      <c r="L215" s="6"/>
      <c r="M215" s="11" t="e">
        <f t="shared" si="3"/>
        <v>#N/A</v>
      </c>
      <c r="N215" s="12"/>
      <c r="O215" s="13"/>
      <c r="P215" s="6"/>
      <c r="Q215" s="6"/>
      <c r="R215" s="6"/>
    </row>
    <row r="216" spans="1:18" x14ac:dyDescent="0.25">
      <c r="A216" s="13"/>
      <c r="B216" s="13"/>
      <c r="C216" s="13"/>
      <c r="D216" s="6"/>
      <c r="E216" s="6"/>
      <c r="F216" s="7"/>
      <c r="G216" s="8" t="e">
        <f>VLOOKUP(F216,'controle saldo'!A$2:N$240,3,FALSE)</f>
        <v>#N/A</v>
      </c>
      <c r="H216" s="7"/>
      <c r="I216" s="9" t="e">
        <f>VLOOKUP(F216,'controle saldo'!A$2:N$245,14,FALSE)</f>
        <v>#N/A</v>
      </c>
      <c r="J216" s="10"/>
      <c r="K216" s="6"/>
      <c r="L216" s="6"/>
      <c r="M216" s="11" t="e">
        <f t="shared" si="3"/>
        <v>#N/A</v>
      </c>
      <c r="N216" s="12"/>
      <c r="O216" s="13"/>
      <c r="P216" s="6"/>
      <c r="Q216" s="6"/>
      <c r="R216" s="6"/>
    </row>
    <row r="217" spans="1:18" x14ac:dyDescent="0.25">
      <c r="A217" s="13"/>
      <c r="B217" s="13"/>
      <c r="C217" s="13"/>
      <c r="D217" s="6"/>
      <c r="E217" s="6"/>
      <c r="F217" s="7"/>
      <c r="G217" s="8" t="e">
        <f>VLOOKUP(F217,'controle saldo'!A$2:N$240,3,FALSE)</f>
        <v>#N/A</v>
      </c>
      <c r="H217" s="7"/>
      <c r="I217" s="9"/>
      <c r="J217" s="10"/>
      <c r="K217" s="6"/>
      <c r="L217" s="6"/>
      <c r="M217" s="11">
        <f t="shared" si="3"/>
        <v>0</v>
      </c>
      <c r="N217" s="12"/>
      <c r="O217" s="13"/>
      <c r="P217" s="6"/>
      <c r="Q217" s="6"/>
      <c r="R217" s="6"/>
    </row>
    <row r="218" spans="1:18" x14ac:dyDescent="0.25">
      <c r="A218" s="13"/>
      <c r="B218" s="13"/>
      <c r="C218" s="13"/>
      <c r="D218" s="6"/>
      <c r="E218" s="6"/>
      <c r="F218" s="7"/>
      <c r="G218" s="8" t="e">
        <f>VLOOKUP(F218,'controle saldo'!A$2:N$240,3,FALSE)</f>
        <v>#N/A</v>
      </c>
      <c r="H218" s="7"/>
      <c r="I218" s="9"/>
      <c r="J218" s="10"/>
      <c r="K218" s="6"/>
      <c r="L218" s="6"/>
      <c r="M218" s="11">
        <f t="shared" si="3"/>
        <v>0</v>
      </c>
      <c r="N218" s="12"/>
      <c r="O218" s="13"/>
      <c r="P218" s="6"/>
      <c r="Q218" s="6"/>
      <c r="R218" s="6"/>
    </row>
    <row r="219" spans="1:18" x14ac:dyDescent="0.25">
      <c r="A219" s="13"/>
      <c r="B219" s="13"/>
      <c r="C219" s="13"/>
      <c r="D219" s="6"/>
      <c r="E219" s="6"/>
      <c r="F219" s="7"/>
      <c r="G219" s="8" t="e">
        <f>VLOOKUP(F219,'controle saldo'!A$2:N$240,3,FALSE)</f>
        <v>#N/A</v>
      </c>
      <c r="H219" s="7"/>
      <c r="I219" s="9"/>
      <c r="J219" s="10"/>
      <c r="K219" s="6"/>
      <c r="L219" s="6"/>
      <c r="M219" s="11">
        <f t="shared" si="3"/>
        <v>0</v>
      </c>
      <c r="N219" s="12"/>
      <c r="O219" s="13"/>
      <c r="P219" s="6"/>
      <c r="Q219" s="6"/>
      <c r="R219" s="6"/>
    </row>
    <row r="220" spans="1:18" x14ac:dyDescent="0.25">
      <c r="A220" s="13"/>
      <c r="B220" s="13"/>
      <c r="C220" s="13"/>
      <c r="D220" s="6"/>
      <c r="E220" s="6"/>
      <c r="F220" s="7"/>
      <c r="G220" s="8" t="e">
        <f>VLOOKUP(F220,'controle saldo'!A$2:N$240,3,FALSE)</f>
        <v>#N/A</v>
      </c>
      <c r="H220" s="7"/>
      <c r="I220" s="9"/>
      <c r="J220" s="10"/>
      <c r="K220" s="6"/>
      <c r="L220" s="6"/>
      <c r="M220" s="11">
        <f t="shared" si="3"/>
        <v>0</v>
      </c>
      <c r="N220" s="12"/>
      <c r="O220" s="13"/>
      <c r="P220" s="6"/>
      <c r="Q220" s="6"/>
      <c r="R220" s="6"/>
    </row>
    <row r="221" spans="1:18" x14ac:dyDescent="0.25">
      <c r="A221" s="13"/>
      <c r="B221" s="13"/>
      <c r="C221" s="13"/>
      <c r="D221" s="6"/>
      <c r="E221" s="6"/>
      <c r="F221" s="7"/>
      <c r="G221" s="8" t="e">
        <f>VLOOKUP(F221,'controle saldo'!A$2:N$240,3,FALSE)</f>
        <v>#N/A</v>
      </c>
      <c r="H221" s="7"/>
      <c r="I221" s="9"/>
      <c r="J221" s="10"/>
      <c r="K221" s="6"/>
      <c r="L221" s="6"/>
      <c r="M221" s="11">
        <f t="shared" si="3"/>
        <v>0</v>
      </c>
      <c r="N221" s="12"/>
      <c r="O221" s="13"/>
      <c r="P221" s="6"/>
      <c r="Q221" s="6"/>
      <c r="R221" s="6"/>
    </row>
    <row r="222" spans="1:18" x14ac:dyDescent="0.25">
      <c r="A222" s="13"/>
      <c r="B222" s="13"/>
      <c r="C222" s="13"/>
      <c r="D222" s="6"/>
      <c r="E222" s="6"/>
      <c r="F222" s="7"/>
      <c r="G222" s="8" t="e">
        <f>VLOOKUP(F222,'controle saldo'!A$2:N$240,3,FALSE)</f>
        <v>#N/A</v>
      </c>
      <c r="H222" s="7"/>
      <c r="I222" s="9"/>
      <c r="J222" s="10"/>
      <c r="K222" s="6"/>
      <c r="L222" s="6"/>
      <c r="M222" s="11">
        <f t="shared" si="3"/>
        <v>0</v>
      </c>
      <c r="N222" s="12"/>
      <c r="O222" s="13"/>
      <c r="P222" s="6"/>
      <c r="Q222" s="6"/>
      <c r="R222" s="6"/>
    </row>
    <row r="223" spans="1:18" x14ac:dyDescent="0.25">
      <c r="A223" s="13"/>
      <c r="B223" s="13"/>
      <c r="C223" s="13"/>
      <c r="D223" s="6"/>
      <c r="E223" s="6"/>
      <c r="F223" s="7"/>
      <c r="G223" s="8" t="e">
        <f>VLOOKUP(F223,'controle saldo'!A$2:N$240,3,FALSE)</f>
        <v>#N/A</v>
      </c>
      <c r="H223" s="7"/>
      <c r="I223" s="9"/>
      <c r="J223" s="10"/>
      <c r="K223" s="6"/>
      <c r="L223" s="6"/>
      <c r="M223" s="11">
        <f t="shared" si="3"/>
        <v>0</v>
      </c>
      <c r="N223" s="12"/>
      <c r="O223" s="13"/>
      <c r="P223" s="6"/>
      <c r="Q223" s="6"/>
      <c r="R223" s="6"/>
    </row>
    <row r="224" spans="1:18" x14ac:dyDescent="0.25">
      <c r="A224" s="13"/>
      <c r="B224" s="13"/>
      <c r="C224" s="13"/>
      <c r="D224" s="6"/>
      <c r="E224" s="6"/>
      <c r="F224" s="7"/>
      <c r="G224" s="8" t="e">
        <f>VLOOKUP(F224,'controle saldo'!A$2:N$240,3,FALSE)</f>
        <v>#N/A</v>
      </c>
      <c r="H224" s="7"/>
      <c r="I224" s="9"/>
      <c r="J224" s="10"/>
      <c r="K224" s="6"/>
      <c r="L224" s="6"/>
      <c r="M224" s="11">
        <f t="shared" si="3"/>
        <v>0</v>
      </c>
      <c r="N224" s="12"/>
      <c r="O224" s="13"/>
      <c r="P224" s="6"/>
      <c r="Q224" s="6"/>
      <c r="R224" s="6"/>
    </row>
    <row r="225" spans="1:18" x14ac:dyDescent="0.25">
      <c r="A225" s="13"/>
      <c r="B225" s="13"/>
      <c r="C225" s="13"/>
      <c r="D225" s="6"/>
      <c r="E225" s="6"/>
      <c r="F225" s="7"/>
      <c r="G225" s="8" t="e">
        <f>VLOOKUP(F225,'controle saldo'!A$2:N$240,3,FALSE)</f>
        <v>#N/A</v>
      </c>
      <c r="H225" s="7"/>
      <c r="I225" s="9"/>
      <c r="J225" s="10"/>
      <c r="K225" s="6"/>
      <c r="L225" s="6"/>
      <c r="M225" s="11">
        <f t="shared" si="3"/>
        <v>0</v>
      </c>
      <c r="N225" s="12"/>
      <c r="O225" s="13"/>
      <c r="P225" s="6"/>
      <c r="Q225" s="6"/>
      <c r="R225" s="6"/>
    </row>
    <row r="226" spans="1:18" x14ac:dyDescent="0.25">
      <c r="A226" s="13"/>
      <c r="B226" s="13"/>
      <c r="C226" s="13"/>
      <c r="D226" s="6"/>
      <c r="E226" s="6"/>
      <c r="F226" s="7"/>
      <c r="G226" s="8" t="e">
        <f>VLOOKUP(F226,'controle saldo'!A$2:N$240,3,FALSE)</f>
        <v>#N/A</v>
      </c>
      <c r="H226" s="7"/>
      <c r="I226" s="9"/>
      <c r="J226" s="10"/>
      <c r="K226" s="6"/>
      <c r="L226" s="6"/>
      <c r="M226" s="11">
        <f t="shared" si="3"/>
        <v>0</v>
      </c>
      <c r="N226" s="12"/>
      <c r="O226" s="13"/>
      <c r="P226" s="6"/>
      <c r="Q226" s="6"/>
      <c r="R226" s="6"/>
    </row>
    <row r="227" spans="1:18" x14ac:dyDescent="0.25">
      <c r="A227" s="13"/>
      <c r="B227" s="13"/>
      <c r="C227" s="13"/>
      <c r="D227" s="6"/>
      <c r="E227" s="6"/>
      <c r="F227" s="7"/>
      <c r="G227" s="8" t="e">
        <f>VLOOKUP(F227,'controle saldo'!A$2:N$240,3,FALSE)</f>
        <v>#N/A</v>
      </c>
      <c r="H227" s="7"/>
      <c r="I227" s="9"/>
      <c r="J227" s="10"/>
      <c r="K227" s="6"/>
      <c r="L227" s="6"/>
      <c r="M227" s="11">
        <f t="shared" si="3"/>
        <v>0</v>
      </c>
      <c r="N227" s="12"/>
      <c r="O227" s="13"/>
      <c r="P227" s="6"/>
      <c r="Q227" s="6"/>
      <c r="R227" s="6"/>
    </row>
    <row r="228" spans="1:18" x14ac:dyDescent="0.25">
      <c r="A228" s="13"/>
      <c r="B228" s="13"/>
      <c r="C228" s="13"/>
      <c r="D228" s="6"/>
      <c r="E228" s="6"/>
      <c r="F228" s="7"/>
      <c r="G228" s="8" t="e">
        <f>VLOOKUP(F228,'controle saldo'!A$2:N$240,3,FALSE)</f>
        <v>#N/A</v>
      </c>
      <c r="H228" s="7"/>
      <c r="I228" s="9"/>
      <c r="J228" s="10"/>
      <c r="K228" s="6"/>
      <c r="L228" s="6"/>
      <c r="M228" s="11">
        <f t="shared" si="3"/>
        <v>0</v>
      </c>
      <c r="N228" s="12"/>
      <c r="O228" s="13"/>
      <c r="P228" s="6"/>
      <c r="Q228" s="6"/>
      <c r="R228" s="6"/>
    </row>
    <row r="229" spans="1:18" x14ac:dyDescent="0.25">
      <c r="A229" s="13"/>
      <c r="B229" s="13"/>
      <c r="C229" s="13"/>
      <c r="D229" s="6"/>
      <c r="E229" s="6"/>
      <c r="F229" s="7"/>
      <c r="G229" s="8" t="e">
        <f>VLOOKUP(F229,'controle saldo'!A$2:N$240,3,FALSE)</f>
        <v>#N/A</v>
      </c>
      <c r="H229" s="7"/>
      <c r="I229" s="9"/>
      <c r="J229" s="10"/>
      <c r="K229" s="6"/>
      <c r="L229" s="6"/>
      <c r="M229" s="11">
        <f t="shared" si="3"/>
        <v>0</v>
      </c>
      <c r="N229" s="12"/>
      <c r="O229" s="13"/>
      <c r="P229" s="6"/>
      <c r="Q229" s="6"/>
      <c r="R229" s="6"/>
    </row>
    <row r="230" spans="1:18" x14ac:dyDescent="0.25">
      <c r="A230" s="13"/>
      <c r="B230" s="13"/>
      <c r="C230" s="13"/>
      <c r="D230" s="6"/>
      <c r="E230" s="6"/>
      <c r="F230" s="7"/>
      <c r="G230" s="8" t="e">
        <f>VLOOKUP(F230,'controle saldo'!A$2:N$240,3,FALSE)</f>
        <v>#N/A</v>
      </c>
      <c r="H230" s="7"/>
      <c r="I230" s="9"/>
      <c r="J230" s="10"/>
      <c r="K230" s="6"/>
      <c r="L230" s="6"/>
      <c r="M230" s="11">
        <f t="shared" si="3"/>
        <v>0</v>
      </c>
      <c r="N230" s="12"/>
      <c r="O230" s="13"/>
      <c r="P230" s="6"/>
      <c r="Q230" s="6"/>
      <c r="R230" s="6"/>
    </row>
    <row r="231" spans="1:18" x14ac:dyDescent="0.25">
      <c r="A231" s="13"/>
      <c r="B231" s="13"/>
      <c r="C231" s="13"/>
      <c r="D231" s="6"/>
      <c r="E231" s="6"/>
      <c r="F231" s="7"/>
      <c r="G231" s="8" t="e">
        <f>VLOOKUP(F231,'controle saldo'!A$2:N$240,3,FALSE)</f>
        <v>#N/A</v>
      </c>
      <c r="H231" s="7"/>
      <c r="I231" s="9"/>
      <c r="J231" s="10"/>
      <c r="K231" s="6"/>
      <c r="L231" s="6"/>
      <c r="M231" s="11">
        <f t="shared" si="3"/>
        <v>0</v>
      </c>
      <c r="N231" s="12"/>
      <c r="O231" s="13"/>
      <c r="P231" s="6"/>
      <c r="Q231" s="6"/>
      <c r="R231" s="6"/>
    </row>
    <row r="232" spans="1:18" x14ac:dyDescent="0.25">
      <c r="A232" s="13"/>
      <c r="B232" s="13"/>
      <c r="C232" s="13"/>
      <c r="D232" s="6"/>
      <c r="E232" s="6"/>
      <c r="F232" s="7"/>
      <c r="G232" s="8" t="e">
        <f>VLOOKUP(F232,'controle saldo'!A$2:N$240,3,FALSE)</f>
        <v>#N/A</v>
      </c>
      <c r="H232" s="7"/>
      <c r="I232" s="9"/>
      <c r="J232" s="10"/>
      <c r="K232" s="6"/>
      <c r="L232" s="6"/>
      <c r="M232" s="11">
        <f t="shared" si="3"/>
        <v>0</v>
      </c>
      <c r="N232" s="12"/>
      <c r="O232" s="13"/>
      <c r="P232" s="6"/>
      <c r="Q232" s="6"/>
      <c r="R232" s="6"/>
    </row>
    <row r="233" spans="1:18" x14ac:dyDescent="0.25">
      <c r="A233" s="13"/>
      <c r="B233" s="13"/>
      <c r="C233" s="13"/>
      <c r="D233" s="6"/>
      <c r="E233" s="6"/>
      <c r="F233" s="7"/>
      <c r="G233" s="8" t="e">
        <f>VLOOKUP(F233,'controle saldo'!A$2:N$240,3,FALSE)</f>
        <v>#N/A</v>
      </c>
      <c r="H233" s="7"/>
      <c r="I233" s="9"/>
      <c r="J233" s="10"/>
      <c r="K233" s="6"/>
      <c r="L233" s="6"/>
      <c r="M233" s="11">
        <f t="shared" si="3"/>
        <v>0</v>
      </c>
      <c r="N233" s="12"/>
      <c r="O233" s="13"/>
      <c r="P233" s="6"/>
      <c r="Q233" s="6"/>
      <c r="R233" s="6"/>
    </row>
    <row r="234" spans="1:18" x14ac:dyDescent="0.25">
      <c r="A234" s="13"/>
      <c r="B234" s="13"/>
      <c r="C234" s="13"/>
      <c r="D234" s="6"/>
      <c r="E234" s="6"/>
      <c r="F234" s="7"/>
      <c r="G234" s="8" t="e">
        <f>VLOOKUP(F234,'controle saldo'!A$2:N$240,3,FALSE)</f>
        <v>#N/A</v>
      </c>
      <c r="H234" s="7"/>
      <c r="I234" s="9"/>
      <c r="J234" s="10"/>
      <c r="K234" s="6"/>
      <c r="L234" s="6"/>
      <c r="M234" s="11">
        <f t="shared" si="3"/>
        <v>0</v>
      </c>
      <c r="N234" s="12"/>
      <c r="O234" s="13"/>
      <c r="P234" s="6"/>
      <c r="Q234" s="6"/>
      <c r="R234" s="6"/>
    </row>
    <row r="235" spans="1:18" x14ac:dyDescent="0.25">
      <c r="A235" s="13"/>
      <c r="B235" s="13"/>
      <c r="C235" s="13"/>
      <c r="D235" s="6"/>
      <c r="E235" s="6"/>
      <c r="F235" s="7"/>
      <c r="G235" s="8" t="e">
        <f>VLOOKUP(F235,'controle saldo'!A$2:N$240,3,FALSE)</f>
        <v>#N/A</v>
      </c>
      <c r="H235" s="7"/>
      <c r="I235" s="9"/>
      <c r="J235" s="10"/>
      <c r="K235" s="6"/>
      <c r="L235" s="6"/>
      <c r="M235" s="11">
        <f t="shared" si="3"/>
        <v>0</v>
      </c>
      <c r="N235" s="12"/>
      <c r="O235" s="13"/>
      <c r="P235" s="6"/>
      <c r="Q235" s="6"/>
      <c r="R235" s="6"/>
    </row>
    <row r="236" spans="1:18" x14ac:dyDescent="0.25">
      <c r="A236" s="13"/>
      <c r="B236" s="13"/>
      <c r="C236" s="13"/>
      <c r="D236" s="6"/>
      <c r="E236" s="6"/>
      <c r="F236" s="7"/>
      <c r="G236" s="8" t="e">
        <f>VLOOKUP(F236,'controle saldo'!A$2:N$240,3,FALSE)</f>
        <v>#N/A</v>
      </c>
      <c r="H236" s="7"/>
      <c r="I236" s="9"/>
      <c r="J236" s="10"/>
      <c r="K236" s="6"/>
      <c r="L236" s="6"/>
      <c r="M236" s="11">
        <f t="shared" si="3"/>
        <v>0</v>
      </c>
      <c r="N236" s="12"/>
      <c r="O236" s="13"/>
      <c r="P236" s="6"/>
      <c r="Q236" s="6"/>
      <c r="R236" s="6"/>
    </row>
    <row r="237" spans="1:18" x14ac:dyDescent="0.25">
      <c r="A237" s="13"/>
      <c r="B237" s="13"/>
      <c r="C237" s="13"/>
      <c r="D237" s="6"/>
      <c r="E237" s="6"/>
      <c r="F237" s="7"/>
      <c r="G237" s="8" t="e">
        <f>VLOOKUP(F237,'controle saldo'!A$2:N$240,3,FALSE)</f>
        <v>#N/A</v>
      </c>
      <c r="H237" s="7"/>
      <c r="I237" s="9"/>
      <c r="J237" s="10"/>
      <c r="K237" s="6"/>
      <c r="L237" s="6"/>
      <c r="M237" s="11">
        <f t="shared" si="3"/>
        <v>0</v>
      </c>
      <c r="N237" s="12"/>
      <c r="O237" s="13"/>
      <c r="P237" s="6"/>
      <c r="Q237" s="6"/>
      <c r="R237" s="6"/>
    </row>
    <row r="238" spans="1:18" x14ac:dyDescent="0.25">
      <c r="A238" s="13"/>
      <c r="B238" s="13"/>
      <c r="C238" s="13"/>
      <c r="D238" s="6"/>
      <c r="E238" s="6"/>
      <c r="F238" s="7"/>
      <c r="G238" s="8" t="e">
        <f>VLOOKUP(F238,'controle saldo'!A$2:N$240,3,FALSE)</f>
        <v>#N/A</v>
      </c>
      <c r="H238" s="7"/>
      <c r="I238" s="9"/>
      <c r="J238" s="10"/>
      <c r="K238" s="6"/>
      <c r="L238" s="6"/>
      <c r="M238" s="11">
        <f t="shared" si="3"/>
        <v>0</v>
      </c>
      <c r="N238" s="12"/>
      <c r="O238" s="13"/>
      <c r="P238" s="6"/>
      <c r="Q238" s="6"/>
      <c r="R238" s="6"/>
    </row>
    <row r="239" spans="1:18" x14ac:dyDescent="0.25">
      <c r="A239" s="13"/>
      <c r="B239" s="13"/>
      <c r="C239" s="13"/>
      <c r="D239" s="6"/>
      <c r="E239" s="6"/>
      <c r="F239" s="7"/>
      <c r="G239" s="8" t="e">
        <f>VLOOKUP(F239,'controle saldo'!A$2:N$240,3,FALSE)</f>
        <v>#N/A</v>
      </c>
      <c r="H239" s="7"/>
      <c r="I239" s="9"/>
      <c r="J239" s="10"/>
      <c r="K239" s="6"/>
      <c r="L239" s="6"/>
      <c r="M239" s="11">
        <f t="shared" si="3"/>
        <v>0</v>
      </c>
      <c r="N239" s="12"/>
      <c r="O239" s="13"/>
      <c r="P239" s="6"/>
      <c r="Q239" s="6"/>
      <c r="R239" s="6"/>
    </row>
    <row r="240" spans="1:18" x14ac:dyDescent="0.25">
      <c r="A240" s="13"/>
      <c r="B240" s="13"/>
      <c r="C240" s="13"/>
      <c r="D240" s="6"/>
      <c r="E240" s="6"/>
      <c r="F240" s="7"/>
      <c r="G240" s="8" t="e">
        <f>VLOOKUP(F240,'controle saldo'!A$2:N$240,3,FALSE)</f>
        <v>#N/A</v>
      </c>
      <c r="H240" s="7"/>
      <c r="I240" s="9"/>
      <c r="J240" s="10"/>
      <c r="K240" s="6"/>
      <c r="L240" s="6"/>
      <c r="M240" s="11">
        <f t="shared" si="3"/>
        <v>0</v>
      </c>
      <c r="N240" s="12"/>
      <c r="O240" s="13"/>
      <c r="P240" s="6"/>
      <c r="Q240" s="6"/>
      <c r="R240" s="6"/>
    </row>
    <row r="241" spans="1:18" x14ac:dyDescent="0.25">
      <c r="A241" s="13"/>
      <c r="B241" s="13"/>
      <c r="C241" s="13"/>
      <c r="D241" s="6"/>
      <c r="E241" s="6"/>
      <c r="F241" s="7"/>
      <c r="G241" s="8" t="e">
        <f>VLOOKUP(F241,'controle saldo'!A$2:N$240,3,FALSE)</f>
        <v>#N/A</v>
      </c>
      <c r="H241" s="7"/>
      <c r="I241" s="9"/>
      <c r="J241" s="10"/>
      <c r="K241" s="6"/>
      <c r="L241" s="6"/>
      <c r="M241" s="11">
        <f t="shared" si="3"/>
        <v>0</v>
      </c>
      <c r="N241" s="12"/>
      <c r="O241" s="13"/>
      <c r="P241" s="6"/>
      <c r="Q241" s="6"/>
      <c r="R241" s="6"/>
    </row>
    <row r="242" spans="1:18" x14ac:dyDescent="0.25">
      <c r="A242" s="13"/>
      <c r="B242" s="13"/>
      <c r="C242" s="13"/>
      <c r="D242" s="6"/>
      <c r="E242" s="6"/>
      <c r="F242" s="7"/>
      <c r="G242" s="8" t="e">
        <f>VLOOKUP(F242,'controle saldo'!A$2:N$240,3,FALSE)</f>
        <v>#N/A</v>
      </c>
      <c r="H242" s="7"/>
      <c r="I242" s="9"/>
      <c r="J242" s="10"/>
      <c r="K242" s="6"/>
      <c r="L242" s="6"/>
      <c r="M242" s="11">
        <f t="shared" si="3"/>
        <v>0</v>
      </c>
      <c r="N242" s="12"/>
      <c r="O242" s="13"/>
      <c r="P242" s="6"/>
      <c r="Q242" s="6"/>
      <c r="R242" s="6"/>
    </row>
    <row r="243" spans="1:18" x14ac:dyDescent="0.25">
      <c r="A243" s="13"/>
      <c r="B243" s="13"/>
      <c r="C243" s="13"/>
      <c r="D243" s="6"/>
      <c r="E243" s="6"/>
      <c r="F243" s="7"/>
      <c r="G243" s="8" t="e">
        <f>VLOOKUP(F243,'controle saldo'!A$2:N$240,3,FALSE)</f>
        <v>#N/A</v>
      </c>
      <c r="H243" s="7"/>
      <c r="I243" s="9"/>
      <c r="J243" s="10"/>
      <c r="K243" s="6"/>
      <c r="L243" s="6"/>
      <c r="M243" s="11">
        <f t="shared" si="3"/>
        <v>0</v>
      </c>
      <c r="N243" s="12"/>
      <c r="O243" s="13"/>
      <c r="P243" s="6"/>
      <c r="Q243" s="6"/>
      <c r="R243" s="6"/>
    </row>
    <row r="244" spans="1:18" x14ac:dyDescent="0.25">
      <c r="A244" s="13"/>
      <c r="B244" s="13"/>
      <c r="C244" s="13"/>
      <c r="D244" s="6"/>
      <c r="E244" s="6"/>
      <c r="F244" s="7"/>
      <c r="G244" s="8" t="e">
        <f>VLOOKUP(F244,'controle saldo'!A$2:N$240,3,FALSE)</f>
        <v>#N/A</v>
      </c>
      <c r="H244" s="7"/>
      <c r="I244" s="9"/>
      <c r="J244" s="10"/>
      <c r="K244" s="6"/>
      <c r="L244" s="6"/>
      <c r="M244" s="11">
        <f t="shared" si="3"/>
        <v>0</v>
      </c>
      <c r="N244" s="12"/>
      <c r="O244" s="13"/>
      <c r="P244" s="6"/>
      <c r="Q244" s="6"/>
      <c r="R244" s="6"/>
    </row>
    <row r="245" spans="1:18" x14ac:dyDescent="0.25">
      <c r="A245" s="13"/>
      <c r="B245" s="13"/>
      <c r="C245" s="13"/>
      <c r="D245" s="6"/>
      <c r="E245" s="6"/>
      <c r="F245" s="7"/>
      <c r="G245" s="8" t="e">
        <f>VLOOKUP(F245,'controle saldo'!A$2:N$240,3,FALSE)</f>
        <v>#N/A</v>
      </c>
      <c r="H245" s="7"/>
      <c r="I245" s="9"/>
      <c r="J245" s="10"/>
      <c r="K245" s="6"/>
      <c r="L245" s="6"/>
      <c r="M245" s="11">
        <f t="shared" si="3"/>
        <v>0</v>
      </c>
      <c r="N245" s="12"/>
      <c r="O245" s="13"/>
      <c r="P245" s="6"/>
      <c r="Q245" s="6"/>
      <c r="R245" s="6"/>
    </row>
    <row r="246" spans="1:18" x14ac:dyDescent="0.25">
      <c r="A246" s="13"/>
      <c r="B246" s="13"/>
      <c r="C246" s="13"/>
      <c r="D246" s="6"/>
      <c r="E246" s="6"/>
      <c r="F246" s="7"/>
      <c r="G246" s="8" t="e">
        <f>VLOOKUP(F246,'controle saldo'!A$2:N$240,3,FALSE)</f>
        <v>#N/A</v>
      </c>
      <c r="H246" s="7"/>
      <c r="I246" s="9"/>
      <c r="J246" s="10"/>
      <c r="K246" s="6"/>
      <c r="L246" s="6"/>
      <c r="M246" s="11">
        <f t="shared" si="3"/>
        <v>0</v>
      </c>
      <c r="N246" s="12"/>
      <c r="O246" s="13"/>
      <c r="P246" s="6"/>
      <c r="Q246" s="6"/>
      <c r="R246" s="6"/>
    </row>
    <row r="247" spans="1:18" x14ac:dyDescent="0.25">
      <c r="A247" s="13"/>
      <c r="B247" s="13"/>
      <c r="C247" s="13"/>
      <c r="D247" s="6"/>
      <c r="E247" s="6"/>
      <c r="F247" s="7"/>
      <c r="G247" s="8" t="e">
        <f>VLOOKUP(F247,'controle saldo'!A$2:N$240,3,FALSE)</f>
        <v>#N/A</v>
      </c>
      <c r="H247" s="7"/>
      <c r="I247" s="9"/>
      <c r="J247" s="10"/>
      <c r="K247" s="6"/>
      <c r="L247" s="6"/>
      <c r="M247" s="11">
        <f t="shared" si="3"/>
        <v>0</v>
      </c>
      <c r="N247" s="12"/>
      <c r="O247" s="13"/>
      <c r="P247" s="6"/>
      <c r="Q247" s="6"/>
      <c r="R247" s="6"/>
    </row>
    <row r="248" spans="1:18" x14ac:dyDescent="0.25">
      <c r="A248" s="13"/>
      <c r="B248" s="13"/>
      <c r="C248" s="13"/>
      <c r="D248" s="6"/>
      <c r="E248" s="6"/>
      <c r="F248" s="7"/>
      <c r="G248" s="8" t="e">
        <f>VLOOKUP(F248,'controle saldo'!A$2:N$240,3,FALSE)</f>
        <v>#N/A</v>
      </c>
      <c r="H248" s="7"/>
      <c r="I248" s="9"/>
      <c r="J248" s="10"/>
      <c r="K248" s="6"/>
      <c r="L248" s="6"/>
      <c r="M248" s="11">
        <f t="shared" si="3"/>
        <v>0</v>
      </c>
      <c r="N248" s="12"/>
      <c r="O248" s="13"/>
      <c r="P248" s="6"/>
      <c r="Q248" s="6"/>
      <c r="R248" s="6"/>
    </row>
    <row r="249" spans="1:18" x14ac:dyDescent="0.25">
      <c r="A249" s="13"/>
      <c r="B249" s="13"/>
      <c r="C249" s="13"/>
      <c r="D249" s="6"/>
      <c r="E249" s="6"/>
      <c r="F249" s="7"/>
      <c r="G249" s="8" t="e">
        <f>VLOOKUP(F249,'controle saldo'!A$2:N$240,3,FALSE)</f>
        <v>#N/A</v>
      </c>
      <c r="H249" s="7"/>
      <c r="I249" s="9"/>
      <c r="J249" s="10"/>
      <c r="K249" s="6"/>
      <c r="L249" s="6"/>
      <c r="M249" s="11">
        <f t="shared" si="3"/>
        <v>0</v>
      </c>
      <c r="N249" s="12"/>
      <c r="O249" s="13"/>
      <c r="P249" s="6"/>
      <c r="Q249" s="6"/>
      <c r="R249" s="6"/>
    </row>
    <row r="250" spans="1:18" x14ac:dyDescent="0.25">
      <c r="A250" s="13"/>
      <c r="B250" s="13"/>
      <c r="C250" s="13"/>
      <c r="D250" s="6"/>
      <c r="E250" s="6"/>
      <c r="F250" s="7"/>
      <c r="G250" s="8" t="e">
        <f>VLOOKUP(F250,'controle saldo'!A$2:N$240,3,FALSE)</f>
        <v>#N/A</v>
      </c>
      <c r="H250" s="7"/>
      <c r="I250" s="9"/>
      <c r="J250" s="10"/>
      <c r="K250" s="6"/>
      <c r="L250" s="6"/>
      <c r="M250" s="11">
        <f t="shared" si="3"/>
        <v>0</v>
      </c>
      <c r="N250" s="12"/>
      <c r="O250" s="13"/>
      <c r="P250" s="6"/>
      <c r="Q250" s="6"/>
      <c r="R250" s="6"/>
    </row>
    <row r="251" spans="1:18" x14ac:dyDescent="0.25">
      <c r="A251" s="13"/>
      <c r="B251" s="13"/>
      <c r="C251" s="13"/>
      <c r="D251" s="6"/>
      <c r="E251" s="6"/>
      <c r="F251" s="7"/>
      <c r="G251" s="8" t="e">
        <f>VLOOKUP(F251,'controle saldo'!A$2:N$240,3,FALSE)</f>
        <v>#N/A</v>
      </c>
      <c r="H251" s="7"/>
      <c r="I251" s="9"/>
      <c r="J251" s="10"/>
      <c r="K251" s="6"/>
      <c r="L251" s="6"/>
      <c r="M251" s="11">
        <f t="shared" si="3"/>
        <v>0</v>
      </c>
      <c r="N251" s="12"/>
      <c r="O251" s="13"/>
      <c r="P251" s="6"/>
      <c r="Q251" s="6"/>
      <c r="R251" s="6"/>
    </row>
    <row r="252" spans="1:18" x14ac:dyDescent="0.25">
      <c r="A252" s="13"/>
      <c r="B252" s="13"/>
      <c r="C252" s="13"/>
      <c r="D252" s="6"/>
      <c r="E252" s="6"/>
      <c r="F252" s="7"/>
      <c r="G252" s="8" t="e">
        <f>VLOOKUP(F252,'controle saldo'!A$2:N$240,3,FALSE)</f>
        <v>#N/A</v>
      </c>
      <c r="H252" s="7"/>
      <c r="I252" s="9"/>
      <c r="J252" s="10"/>
      <c r="K252" s="6"/>
      <c r="L252" s="6"/>
      <c r="M252" s="11">
        <f t="shared" si="3"/>
        <v>0</v>
      </c>
      <c r="N252" s="12"/>
      <c r="O252" s="13"/>
      <c r="P252" s="6"/>
      <c r="Q252" s="6"/>
      <c r="R252" s="6"/>
    </row>
    <row r="253" spans="1:18" x14ac:dyDescent="0.25">
      <c r="A253" s="13"/>
      <c r="B253" s="13"/>
      <c r="C253" s="13"/>
      <c r="D253" s="6"/>
      <c r="E253" s="6"/>
      <c r="F253" s="7"/>
      <c r="G253" s="8" t="e">
        <f>VLOOKUP(F253,'controle saldo'!A$2:N$240,3,FALSE)</f>
        <v>#N/A</v>
      </c>
      <c r="H253" s="7"/>
      <c r="I253" s="9"/>
      <c r="J253" s="10"/>
      <c r="K253" s="6"/>
      <c r="L253" s="6"/>
      <c r="M253" s="11">
        <f t="shared" si="3"/>
        <v>0</v>
      </c>
      <c r="N253" s="12"/>
      <c r="O253" s="13"/>
      <c r="P253" s="6"/>
      <c r="Q253" s="6"/>
      <c r="R253" s="6"/>
    </row>
    <row r="254" spans="1:18" x14ac:dyDescent="0.25">
      <c r="A254" s="13"/>
      <c r="B254" s="13"/>
      <c r="C254" s="13"/>
      <c r="D254" s="6"/>
      <c r="E254" s="6"/>
      <c r="F254" s="7"/>
      <c r="G254" s="8" t="e">
        <f>VLOOKUP(F254,'controle saldo'!A$2:N$240,3,FALSE)</f>
        <v>#N/A</v>
      </c>
      <c r="H254" s="7"/>
      <c r="I254" s="9"/>
      <c r="J254" s="10"/>
      <c r="K254" s="6"/>
      <c r="L254" s="6"/>
      <c r="M254" s="11">
        <f t="shared" si="3"/>
        <v>0</v>
      </c>
      <c r="N254" s="12"/>
      <c r="O254" s="13"/>
      <c r="P254" s="6"/>
      <c r="Q254" s="6"/>
      <c r="R254" s="6"/>
    </row>
    <row r="255" spans="1:18" x14ac:dyDescent="0.25">
      <c r="A255" s="13"/>
      <c r="B255" s="13"/>
      <c r="C255" s="13"/>
      <c r="D255" s="6"/>
      <c r="E255" s="6"/>
      <c r="F255" s="7"/>
      <c r="G255" s="8" t="e">
        <f>VLOOKUP(F255,'controle saldo'!A$2:N$240,3,FALSE)</f>
        <v>#N/A</v>
      </c>
      <c r="H255" s="7"/>
      <c r="I255" s="9"/>
      <c r="J255" s="10"/>
      <c r="K255" s="6"/>
      <c r="L255" s="6"/>
      <c r="M255" s="11">
        <f t="shared" si="3"/>
        <v>0</v>
      </c>
      <c r="N255" s="12"/>
      <c r="O255" s="13"/>
      <c r="P255" s="6"/>
      <c r="Q255" s="6"/>
      <c r="R255" s="6"/>
    </row>
    <row r="256" spans="1:18" x14ac:dyDescent="0.25">
      <c r="A256" s="13"/>
      <c r="B256" s="13"/>
      <c r="C256" s="13"/>
      <c r="D256" s="6"/>
      <c r="E256" s="6"/>
      <c r="F256" s="7"/>
      <c r="G256" s="8" t="e">
        <f>VLOOKUP(F256,'controle saldo'!A$2:N$240,3,FALSE)</f>
        <v>#N/A</v>
      </c>
      <c r="H256" s="7"/>
      <c r="I256" s="9"/>
      <c r="J256" s="10"/>
      <c r="K256" s="6"/>
      <c r="L256" s="6"/>
      <c r="M256" s="11">
        <f t="shared" si="3"/>
        <v>0</v>
      </c>
      <c r="N256" s="12"/>
      <c r="O256" s="13"/>
      <c r="P256" s="6"/>
      <c r="Q256" s="6"/>
      <c r="R256" s="6"/>
    </row>
    <row r="257" spans="1:18" x14ac:dyDescent="0.25">
      <c r="A257" s="13"/>
      <c r="B257" s="13"/>
      <c r="C257" s="13"/>
      <c r="D257" s="6"/>
      <c r="E257" s="6"/>
      <c r="F257" s="7"/>
      <c r="G257" s="8" t="e">
        <f>VLOOKUP(F257,'controle saldo'!A$2:N$240,3,FALSE)</f>
        <v>#N/A</v>
      </c>
      <c r="H257" s="7"/>
      <c r="I257" s="9"/>
      <c r="J257" s="10"/>
      <c r="K257" s="6"/>
      <c r="L257" s="6"/>
      <c r="M257" s="11">
        <f t="shared" si="3"/>
        <v>0</v>
      </c>
      <c r="N257" s="12"/>
      <c r="O257" s="13"/>
      <c r="P257" s="6"/>
      <c r="Q257" s="6"/>
      <c r="R257" s="6"/>
    </row>
    <row r="258" spans="1:18" x14ac:dyDescent="0.25">
      <c r="A258" s="13"/>
      <c r="B258" s="13"/>
      <c r="C258" s="13"/>
      <c r="D258" s="6"/>
      <c r="E258" s="6"/>
      <c r="F258" s="7"/>
      <c r="G258" s="8" t="e">
        <f>VLOOKUP(F258,'controle saldo'!A$2:N$240,3,FALSE)</f>
        <v>#N/A</v>
      </c>
      <c r="H258" s="7"/>
      <c r="I258" s="9"/>
      <c r="J258" s="10"/>
      <c r="K258" s="6"/>
      <c r="L258" s="6"/>
      <c r="M258" s="11">
        <f t="shared" si="3"/>
        <v>0</v>
      </c>
      <c r="N258" s="12"/>
      <c r="O258" s="13"/>
      <c r="P258" s="6"/>
      <c r="Q258" s="6"/>
      <c r="R258" s="6"/>
    </row>
    <row r="259" spans="1:18" x14ac:dyDescent="0.25">
      <c r="A259" s="13"/>
      <c r="B259" s="13"/>
      <c r="C259" s="13"/>
      <c r="D259" s="6"/>
      <c r="E259" s="6"/>
      <c r="F259" s="7"/>
      <c r="G259" s="8" t="e">
        <f>VLOOKUP(F259,'controle saldo'!A$2:N$240,3,FALSE)</f>
        <v>#N/A</v>
      </c>
      <c r="H259" s="7"/>
      <c r="I259" s="9"/>
      <c r="J259" s="10"/>
      <c r="K259" s="6"/>
      <c r="L259" s="6"/>
      <c r="M259" s="11">
        <f t="shared" ref="M259:M274" si="4">I259*L259</f>
        <v>0</v>
      </c>
      <c r="N259" s="12"/>
      <c r="O259" s="13"/>
      <c r="P259" s="6"/>
      <c r="Q259" s="6"/>
      <c r="R259" s="6"/>
    </row>
    <row r="260" spans="1:18" x14ac:dyDescent="0.25">
      <c r="A260" s="13"/>
      <c r="B260" s="13"/>
      <c r="C260" s="13"/>
      <c r="D260" s="6"/>
      <c r="E260" s="6"/>
      <c r="F260" s="7"/>
      <c r="G260" s="8" t="e">
        <f>VLOOKUP(F260,'controle saldo'!A$2:N$240,3,FALSE)</f>
        <v>#N/A</v>
      </c>
      <c r="H260" s="7"/>
      <c r="I260" s="9"/>
      <c r="J260" s="10"/>
      <c r="K260" s="6"/>
      <c r="L260" s="6"/>
      <c r="M260" s="11">
        <f t="shared" si="4"/>
        <v>0</v>
      </c>
      <c r="N260" s="12"/>
      <c r="O260" s="13"/>
      <c r="P260" s="6"/>
      <c r="Q260" s="6"/>
      <c r="R260" s="6"/>
    </row>
    <row r="261" spans="1:18" x14ac:dyDescent="0.25">
      <c r="A261" s="13"/>
      <c r="B261" s="13"/>
      <c r="C261" s="13"/>
      <c r="D261" s="6"/>
      <c r="E261" s="6"/>
      <c r="F261" s="7"/>
      <c r="G261" s="8" t="e">
        <f>VLOOKUP(F261,'controle saldo'!A$2:N$240,3,FALSE)</f>
        <v>#N/A</v>
      </c>
      <c r="H261" s="7"/>
      <c r="I261" s="9"/>
      <c r="J261" s="10"/>
      <c r="K261" s="6"/>
      <c r="L261" s="6"/>
      <c r="M261" s="11">
        <f t="shared" si="4"/>
        <v>0</v>
      </c>
      <c r="N261" s="12"/>
      <c r="O261" s="13"/>
      <c r="P261" s="6"/>
      <c r="Q261" s="6"/>
      <c r="R261" s="6"/>
    </row>
    <row r="262" spans="1:18" x14ac:dyDescent="0.25">
      <c r="A262" s="13"/>
      <c r="B262" s="13"/>
      <c r="C262" s="13"/>
      <c r="D262" s="6"/>
      <c r="E262" s="6"/>
      <c r="F262" s="7"/>
      <c r="G262" s="8" t="e">
        <f>VLOOKUP(F262,'controle saldo'!A$2:N$240,3,FALSE)</f>
        <v>#N/A</v>
      </c>
      <c r="H262" s="7"/>
      <c r="I262" s="9"/>
      <c r="J262" s="10"/>
      <c r="K262" s="6"/>
      <c r="L262" s="6"/>
      <c r="M262" s="11">
        <f t="shared" si="4"/>
        <v>0</v>
      </c>
      <c r="N262" s="12"/>
      <c r="O262" s="13"/>
      <c r="P262" s="6"/>
      <c r="Q262" s="6"/>
      <c r="R262" s="6"/>
    </row>
    <row r="263" spans="1:18" x14ac:dyDescent="0.25">
      <c r="A263" s="13"/>
      <c r="B263" s="13"/>
      <c r="C263" s="13"/>
      <c r="D263" s="6"/>
      <c r="E263" s="6"/>
      <c r="F263" s="7"/>
      <c r="G263" s="8" t="e">
        <f>VLOOKUP(F263,'controle saldo'!A$2:N$240,3,FALSE)</f>
        <v>#N/A</v>
      </c>
      <c r="H263" s="7"/>
      <c r="I263" s="9"/>
      <c r="J263" s="10"/>
      <c r="K263" s="6"/>
      <c r="L263" s="6"/>
      <c r="M263" s="11">
        <f t="shared" si="4"/>
        <v>0</v>
      </c>
      <c r="N263" s="12"/>
      <c r="O263" s="13"/>
      <c r="P263" s="6"/>
      <c r="Q263" s="6"/>
      <c r="R263" s="6"/>
    </row>
    <row r="264" spans="1:18" x14ac:dyDescent="0.25">
      <c r="A264" s="13"/>
      <c r="B264" s="13"/>
      <c r="C264" s="13"/>
      <c r="D264" s="6"/>
      <c r="E264" s="6"/>
      <c r="F264" s="7"/>
      <c r="G264" s="8" t="e">
        <f>VLOOKUP(F264,'controle saldo'!A$2:N$240,3,FALSE)</f>
        <v>#N/A</v>
      </c>
      <c r="H264" s="7"/>
      <c r="I264" s="9"/>
      <c r="J264" s="10"/>
      <c r="K264" s="6"/>
      <c r="L264" s="6"/>
      <c r="M264" s="11">
        <f t="shared" si="4"/>
        <v>0</v>
      </c>
      <c r="N264" s="12"/>
      <c r="O264" s="13"/>
      <c r="P264" s="6"/>
      <c r="Q264" s="6"/>
      <c r="R264" s="6"/>
    </row>
    <row r="265" spans="1:18" x14ac:dyDescent="0.25">
      <c r="A265" s="13"/>
      <c r="B265" s="13"/>
      <c r="C265" s="13"/>
      <c r="D265" s="6"/>
      <c r="E265" s="6"/>
      <c r="F265" s="7"/>
      <c r="G265" s="8" t="e">
        <f>VLOOKUP(F265,'controle saldo'!A$2:N$240,3,FALSE)</f>
        <v>#N/A</v>
      </c>
      <c r="H265" s="7"/>
      <c r="I265" s="9"/>
      <c r="J265" s="10"/>
      <c r="K265" s="6"/>
      <c r="L265" s="6"/>
      <c r="M265" s="11">
        <f t="shared" si="4"/>
        <v>0</v>
      </c>
      <c r="N265" s="12"/>
      <c r="O265" s="13"/>
      <c r="P265" s="6"/>
      <c r="Q265" s="6"/>
      <c r="R265" s="6"/>
    </row>
    <row r="266" spans="1:18" x14ac:dyDescent="0.25">
      <c r="A266" s="13"/>
      <c r="B266" s="13"/>
      <c r="C266" s="13"/>
      <c r="D266" s="6"/>
      <c r="E266" s="6"/>
      <c r="F266" s="7"/>
      <c r="G266" s="8" t="e">
        <f>VLOOKUP(F266,'controle saldo'!A$2:N$240,3,FALSE)</f>
        <v>#N/A</v>
      </c>
      <c r="H266" s="7"/>
      <c r="I266" s="9"/>
      <c r="J266" s="10"/>
      <c r="K266" s="6"/>
      <c r="L266" s="6"/>
      <c r="M266" s="11">
        <f t="shared" si="4"/>
        <v>0</v>
      </c>
      <c r="N266" s="12"/>
      <c r="O266" s="13"/>
      <c r="P266" s="6"/>
      <c r="Q266" s="6"/>
      <c r="R266" s="6"/>
    </row>
    <row r="267" spans="1:18" x14ac:dyDescent="0.25">
      <c r="A267" s="13"/>
      <c r="B267" s="13"/>
      <c r="C267" s="13"/>
      <c r="D267" s="6"/>
      <c r="E267" s="6"/>
      <c r="F267" s="7"/>
      <c r="G267" s="8" t="e">
        <f>VLOOKUP(F267,'controle saldo'!A$2:N$240,3,FALSE)</f>
        <v>#N/A</v>
      </c>
      <c r="H267" s="7"/>
      <c r="I267" s="9"/>
      <c r="J267" s="10"/>
      <c r="K267" s="6"/>
      <c r="L267" s="6"/>
      <c r="M267" s="11">
        <f t="shared" si="4"/>
        <v>0</v>
      </c>
      <c r="N267" s="12"/>
      <c r="O267" s="13"/>
      <c r="P267" s="6"/>
      <c r="Q267" s="6"/>
      <c r="R267" s="6"/>
    </row>
    <row r="268" spans="1:18" x14ac:dyDescent="0.25">
      <c r="A268" s="13"/>
      <c r="B268" s="13"/>
      <c r="C268" s="13"/>
      <c r="D268" s="6"/>
      <c r="E268" s="6"/>
      <c r="F268" s="7"/>
      <c r="G268" s="8" t="e">
        <f>VLOOKUP(F268,'controle saldo'!A$2:N$240,3,FALSE)</f>
        <v>#N/A</v>
      </c>
      <c r="H268" s="7"/>
      <c r="I268" s="9"/>
      <c r="J268" s="10"/>
      <c r="K268" s="6"/>
      <c r="L268" s="6"/>
      <c r="M268" s="11">
        <f t="shared" si="4"/>
        <v>0</v>
      </c>
      <c r="N268" s="12"/>
      <c r="O268" s="13"/>
      <c r="P268" s="6"/>
      <c r="Q268" s="6"/>
      <c r="R268" s="6"/>
    </row>
    <row r="269" spans="1:18" x14ac:dyDescent="0.25">
      <c r="A269" s="13"/>
      <c r="B269" s="13"/>
      <c r="C269" s="13"/>
      <c r="D269" s="6"/>
      <c r="E269" s="6"/>
      <c r="F269" s="7"/>
      <c r="G269" s="8" t="e">
        <f>VLOOKUP(F269,'controle saldo'!A$2:N$240,3,FALSE)</f>
        <v>#N/A</v>
      </c>
      <c r="H269" s="7"/>
      <c r="I269" s="9"/>
      <c r="J269" s="10"/>
      <c r="K269" s="6"/>
      <c r="L269" s="6"/>
      <c r="M269" s="11">
        <f t="shared" si="4"/>
        <v>0</v>
      </c>
      <c r="N269" s="12"/>
      <c r="O269" s="13"/>
      <c r="P269" s="6"/>
      <c r="Q269" s="6"/>
      <c r="R269" s="6"/>
    </row>
    <row r="270" spans="1:18" x14ac:dyDescent="0.25">
      <c r="A270" s="13"/>
      <c r="B270" s="13"/>
      <c r="C270" s="13"/>
      <c r="D270" s="6"/>
      <c r="E270" s="6"/>
      <c r="F270" s="7"/>
      <c r="G270" s="8" t="e">
        <f>VLOOKUP(F270,'controle saldo'!A$2:N$240,3,FALSE)</f>
        <v>#N/A</v>
      </c>
      <c r="H270" s="7"/>
      <c r="I270" s="9"/>
      <c r="J270" s="10"/>
      <c r="K270" s="6"/>
      <c r="L270" s="6"/>
      <c r="M270" s="11">
        <f t="shared" si="4"/>
        <v>0</v>
      </c>
      <c r="N270" s="12"/>
      <c r="O270" s="13"/>
      <c r="P270" s="6"/>
      <c r="Q270" s="6"/>
      <c r="R270" s="6"/>
    </row>
    <row r="271" spans="1:18" x14ac:dyDescent="0.25">
      <c r="A271" s="13"/>
      <c r="B271" s="13"/>
      <c r="C271" s="13"/>
      <c r="D271" s="6"/>
      <c r="E271" s="6"/>
      <c r="F271" s="7"/>
      <c r="G271" s="8" t="e">
        <f>VLOOKUP(F271,'controle saldo'!A$2:N$240,3,FALSE)</f>
        <v>#N/A</v>
      </c>
      <c r="H271" s="7"/>
      <c r="I271" s="9"/>
      <c r="J271" s="10"/>
      <c r="K271" s="6"/>
      <c r="L271" s="6"/>
      <c r="M271" s="11">
        <f t="shared" si="4"/>
        <v>0</v>
      </c>
      <c r="N271" s="12"/>
      <c r="O271" s="13"/>
      <c r="P271" s="6"/>
      <c r="Q271" s="6"/>
      <c r="R271" s="6"/>
    </row>
    <row r="272" spans="1:18" x14ac:dyDescent="0.25">
      <c r="A272" s="13"/>
      <c r="B272" s="13"/>
      <c r="C272" s="13"/>
      <c r="D272" s="6"/>
      <c r="E272" s="6"/>
      <c r="F272" s="7"/>
      <c r="G272" s="8" t="e">
        <f>VLOOKUP(F272,'controle saldo'!A$2:N$240,3,FALSE)</f>
        <v>#N/A</v>
      </c>
      <c r="H272" s="7"/>
      <c r="I272" s="9"/>
      <c r="J272" s="10"/>
      <c r="K272" s="6"/>
      <c r="L272" s="6"/>
      <c r="M272" s="11">
        <f t="shared" si="4"/>
        <v>0</v>
      </c>
      <c r="N272" s="12"/>
      <c r="O272" s="13"/>
      <c r="P272" s="6"/>
      <c r="Q272" s="6"/>
      <c r="R272" s="6"/>
    </row>
    <row r="273" spans="1:18" x14ac:dyDescent="0.25">
      <c r="A273" s="13"/>
      <c r="B273" s="13"/>
      <c r="C273" s="13"/>
      <c r="D273" s="6"/>
      <c r="E273" s="6"/>
      <c r="F273" s="7"/>
      <c r="G273" s="8" t="e">
        <f>VLOOKUP(F273,'controle saldo'!A$2:N$240,3,FALSE)</f>
        <v>#N/A</v>
      </c>
      <c r="H273" s="7"/>
      <c r="I273" s="9"/>
      <c r="J273" s="10"/>
      <c r="K273" s="6"/>
      <c r="L273" s="6"/>
      <c r="M273" s="11">
        <f t="shared" si="4"/>
        <v>0</v>
      </c>
      <c r="N273" s="12"/>
      <c r="O273" s="13"/>
      <c r="P273" s="6"/>
      <c r="Q273" s="6"/>
      <c r="R273" s="6"/>
    </row>
    <row r="274" spans="1:18" x14ac:dyDescent="0.25">
      <c r="A274" s="13"/>
      <c r="B274" s="13"/>
      <c r="C274" s="13"/>
      <c r="D274" s="6"/>
      <c r="E274" s="6"/>
      <c r="F274" s="7"/>
      <c r="G274" s="8" t="e">
        <f>VLOOKUP(F274,'controle saldo'!A$2:N$240,3,FALSE)</f>
        <v>#N/A</v>
      </c>
      <c r="H274" s="7"/>
      <c r="I274" s="9"/>
      <c r="J274" s="10"/>
      <c r="K274" s="6"/>
      <c r="L274" s="6"/>
      <c r="M274" s="11">
        <f t="shared" si="4"/>
        <v>0</v>
      </c>
      <c r="N274" s="12"/>
      <c r="O274" s="13"/>
      <c r="P274" s="6"/>
      <c r="Q274" s="6"/>
      <c r="R274" s="6"/>
    </row>
    <row r="275" spans="1:18" x14ac:dyDescent="0.25">
      <c r="A275" s="13"/>
      <c r="B275" s="13"/>
      <c r="C275" s="13"/>
      <c r="D275" s="6"/>
      <c r="E275" s="6"/>
      <c r="F275" s="7"/>
      <c r="G275" s="8" t="e">
        <f>VLOOKUP(F275,'controle saldo'!A$2:N$240,3,FALSE)</f>
        <v>#N/A</v>
      </c>
      <c r="H275" s="7"/>
      <c r="I275" s="9"/>
      <c r="J275" s="10"/>
      <c r="K275" s="6"/>
      <c r="L275" s="6"/>
      <c r="M275" s="11"/>
      <c r="N275" s="12"/>
      <c r="O275" s="13"/>
      <c r="P275" s="6"/>
      <c r="Q275" s="6"/>
      <c r="R275" s="6"/>
    </row>
    <row r="276" spans="1:18" x14ac:dyDescent="0.25">
      <c r="A276" s="13"/>
      <c r="B276" s="13"/>
      <c r="C276" s="13"/>
      <c r="D276" s="6"/>
      <c r="E276" s="6"/>
      <c r="F276" s="7"/>
      <c r="G276" s="8" t="e">
        <f>VLOOKUP(F276,'controle saldo'!A$2:N$240,3,FALSE)</f>
        <v>#N/A</v>
      </c>
      <c r="H276" s="7"/>
      <c r="I276" s="9"/>
      <c r="J276" s="10"/>
      <c r="K276" s="6"/>
      <c r="L276" s="6"/>
      <c r="M276" s="11"/>
      <c r="N276" s="12"/>
      <c r="O276" s="13"/>
      <c r="P276" s="6"/>
      <c r="Q276" s="6"/>
      <c r="R276" s="6"/>
    </row>
    <row r="277" spans="1:18" x14ac:dyDescent="0.25">
      <c r="A277" s="13"/>
      <c r="B277" s="13"/>
      <c r="C277" s="13"/>
      <c r="D277" s="6"/>
      <c r="E277" s="6"/>
      <c r="F277" s="7"/>
      <c r="G277" s="8" t="e">
        <f>VLOOKUP(F277,'controle saldo'!A$2:N$240,3,FALSE)</f>
        <v>#N/A</v>
      </c>
      <c r="H277" s="7"/>
      <c r="I277" s="9"/>
      <c r="J277" s="10"/>
      <c r="K277" s="6"/>
      <c r="L277" s="6"/>
      <c r="M277" s="11"/>
      <c r="N277" s="12"/>
      <c r="O277" s="13"/>
      <c r="P277" s="6"/>
      <c r="Q277" s="6"/>
      <c r="R277" s="6"/>
    </row>
    <row r="278" spans="1:18" x14ac:dyDescent="0.25">
      <c r="A278" s="13"/>
      <c r="B278" s="13"/>
      <c r="C278" s="13"/>
      <c r="D278" s="6"/>
      <c r="E278" s="6"/>
      <c r="F278" s="7"/>
      <c r="G278" s="8" t="e">
        <f>VLOOKUP(F278,'controle saldo'!A$2:N$240,3,FALSE)</f>
        <v>#N/A</v>
      </c>
      <c r="H278" s="7"/>
      <c r="I278" s="9"/>
      <c r="J278" s="10"/>
      <c r="K278" s="6"/>
      <c r="L278" s="6"/>
      <c r="M278" s="11"/>
      <c r="N278" s="12"/>
      <c r="O278" s="13"/>
      <c r="P278" s="6"/>
      <c r="Q278" s="6"/>
      <c r="R278" s="6"/>
    </row>
    <row r="279" spans="1:18" x14ac:dyDescent="0.25">
      <c r="A279" s="13"/>
      <c r="B279" s="13"/>
      <c r="C279" s="13"/>
      <c r="D279" s="6"/>
      <c r="E279" s="6"/>
      <c r="F279" s="7"/>
      <c r="G279" s="8" t="e">
        <f>VLOOKUP(F279,'controle saldo'!A$2:N$240,3,FALSE)</f>
        <v>#N/A</v>
      </c>
      <c r="H279" s="7"/>
      <c r="I279" s="9"/>
      <c r="J279" s="10"/>
      <c r="K279" s="6"/>
      <c r="L279" s="6"/>
      <c r="M279" s="11"/>
      <c r="N279" s="12"/>
      <c r="O279" s="13"/>
      <c r="P279" s="6"/>
      <c r="Q279" s="6"/>
      <c r="R279" s="6"/>
    </row>
    <row r="280" spans="1:18" x14ac:dyDescent="0.25">
      <c r="A280" s="13"/>
      <c r="B280" s="13"/>
      <c r="C280" s="13"/>
      <c r="D280" s="6"/>
      <c r="E280" s="6"/>
      <c r="F280" s="7"/>
      <c r="G280" s="8" t="e">
        <f>VLOOKUP(F280,'controle saldo'!A$2:N$240,3,FALSE)</f>
        <v>#N/A</v>
      </c>
      <c r="H280" s="7"/>
      <c r="I280" s="9"/>
      <c r="J280" s="10"/>
      <c r="K280" s="6"/>
      <c r="L280" s="6"/>
      <c r="M280" s="11"/>
      <c r="N280" s="12"/>
      <c r="O280" s="13"/>
      <c r="P280" s="6"/>
      <c r="Q280" s="6"/>
      <c r="R280" s="6"/>
    </row>
    <row r="281" spans="1:18" x14ac:dyDescent="0.25">
      <c r="A281" s="13"/>
      <c r="B281" s="13"/>
      <c r="C281" s="13"/>
      <c r="D281" s="6"/>
      <c r="E281" s="6"/>
      <c r="F281" s="7"/>
      <c r="G281" s="8" t="e">
        <f>VLOOKUP(F281,'controle saldo'!A$2:N$240,3,FALSE)</f>
        <v>#N/A</v>
      </c>
      <c r="H281" s="7"/>
      <c r="I281" s="9"/>
      <c r="J281" s="10"/>
      <c r="K281" s="6"/>
      <c r="L281" s="6"/>
      <c r="M281" s="11"/>
      <c r="N281" s="12"/>
      <c r="O281" s="13"/>
      <c r="P281" s="6"/>
      <c r="Q281" s="6"/>
      <c r="R281" s="6"/>
    </row>
    <row r="282" spans="1:18" x14ac:dyDescent="0.25">
      <c r="A282" s="13"/>
      <c r="B282" s="13"/>
      <c r="C282" s="13"/>
      <c r="D282" s="6"/>
      <c r="E282" s="6"/>
      <c r="F282" s="7"/>
      <c r="G282" s="8" t="e">
        <f>VLOOKUP(F282,'controle saldo'!A$2:N$240,3,FALSE)</f>
        <v>#N/A</v>
      </c>
      <c r="H282" s="7"/>
      <c r="I282" s="9"/>
      <c r="J282" s="10"/>
      <c r="K282" s="6"/>
      <c r="L282" s="6"/>
      <c r="M282" s="11"/>
      <c r="N282" s="12"/>
      <c r="O282" s="13"/>
      <c r="P282" s="6"/>
      <c r="Q282" s="6"/>
      <c r="R282" s="6"/>
    </row>
    <row r="283" spans="1:18" x14ac:dyDescent="0.25">
      <c r="A283" s="13"/>
      <c r="B283" s="13"/>
      <c r="C283" s="13"/>
      <c r="D283" s="6"/>
      <c r="E283" s="6"/>
      <c r="F283" s="7"/>
      <c r="G283" s="8" t="e">
        <f>VLOOKUP(F283,'controle saldo'!A$2:N$240,3,FALSE)</f>
        <v>#N/A</v>
      </c>
      <c r="H283" s="7"/>
      <c r="I283" s="9"/>
      <c r="J283" s="10"/>
      <c r="K283" s="6"/>
      <c r="L283" s="6"/>
      <c r="M283" s="11"/>
      <c r="N283" s="12"/>
      <c r="O283" s="13"/>
      <c r="P283" s="6"/>
      <c r="Q283" s="6"/>
      <c r="R283" s="6"/>
    </row>
    <row r="284" spans="1:18" x14ac:dyDescent="0.25">
      <c r="A284" s="13"/>
      <c r="B284" s="13"/>
      <c r="C284" s="13"/>
      <c r="D284" s="6"/>
      <c r="E284" s="6"/>
      <c r="F284" s="7"/>
      <c r="G284" s="8" t="e">
        <f>VLOOKUP(F284,'controle saldo'!A$2:N$240,3,FALSE)</f>
        <v>#N/A</v>
      </c>
      <c r="H284" s="7"/>
      <c r="I284" s="9"/>
      <c r="J284" s="10"/>
      <c r="K284" s="6"/>
      <c r="L284" s="6"/>
      <c r="M284" s="11"/>
      <c r="N284" s="12"/>
      <c r="O284" s="13"/>
      <c r="P284" s="6"/>
      <c r="Q284" s="6"/>
      <c r="R284" s="6"/>
    </row>
    <row r="285" spans="1:18" x14ac:dyDescent="0.25">
      <c r="A285" s="13"/>
      <c r="B285" s="13"/>
      <c r="C285" s="13"/>
      <c r="D285" s="6"/>
      <c r="E285" s="6"/>
      <c r="F285" s="7"/>
      <c r="G285" s="8" t="e">
        <f>VLOOKUP(F285,'controle saldo'!A$2:N$240,3,FALSE)</f>
        <v>#N/A</v>
      </c>
      <c r="H285" s="7"/>
      <c r="I285" s="9"/>
      <c r="J285" s="10"/>
      <c r="K285" s="6"/>
      <c r="L285" s="6"/>
      <c r="M285" s="11"/>
      <c r="N285" s="12"/>
      <c r="O285" s="13"/>
      <c r="P285" s="6"/>
      <c r="Q285" s="6"/>
      <c r="R285" s="6"/>
    </row>
    <row r="286" spans="1:18" x14ac:dyDescent="0.25">
      <c r="A286" s="13"/>
      <c r="B286" s="13"/>
      <c r="C286" s="13"/>
      <c r="D286" s="6"/>
      <c r="E286" s="6"/>
      <c r="F286" s="7"/>
      <c r="G286" s="8" t="e">
        <f>VLOOKUP(F286,'controle saldo'!A$2:N$240,3,FALSE)</f>
        <v>#N/A</v>
      </c>
      <c r="H286" s="7"/>
      <c r="I286" s="9"/>
      <c r="J286" s="10"/>
      <c r="K286" s="6"/>
      <c r="L286" s="6"/>
      <c r="M286" s="11"/>
      <c r="N286" s="12"/>
      <c r="O286" s="13"/>
      <c r="P286" s="6"/>
      <c r="Q286" s="6"/>
      <c r="R286" s="6"/>
    </row>
    <row r="287" spans="1:18" x14ac:dyDescent="0.25">
      <c r="A287" s="13"/>
      <c r="B287" s="13"/>
      <c r="C287" s="13"/>
      <c r="D287" s="6"/>
      <c r="E287" s="6"/>
      <c r="F287" s="7"/>
      <c r="G287" s="8" t="e">
        <f>VLOOKUP(F287,'controle saldo'!A$2:N$240,3,FALSE)</f>
        <v>#N/A</v>
      </c>
      <c r="H287" s="7"/>
      <c r="I287" s="9"/>
      <c r="J287" s="10"/>
      <c r="K287" s="6"/>
      <c r="L287" s="6"/>
      <c r="M287" s="11"/>
      <c r="N287" s="12"/>
      <c r="O287" s="13"/>
      <c r="P287" s="6"/>
      <c r="Q287" s="6"/>
      <c r="R287" s="6"/>
    </row>
    <row r="288" spans="1:18" x14ac:dyDescent="0.25">
      <c r="A288" s="13"/>
      <c r="B288" s="13"/>
      <c r="C288" s="13"/>
      <c r="D288" s="6"/>
      <c r="E288" s="6"/>
      <c r="F288" s="7"/>
      <c r="G288" s="8" t="e">
        <f>VLOOKUP(F288,'controle saldo'!A$2:N$240,3,FALSE)</f>
        <v>#N/A</v>
      </c>
      <c r="H288" s="7"/>
      <c r="I288" s="9"/>
      <c r="J288" s="10"/>
      <c r="K288" s="6"/>
      <c r="L288" s="6"/>
      <c r="M288" s="11"/>
      <c r="N288" s="12"/>
      <c r="O288" s="13"/>
      <c r="P288" s="6"/>
      <c r="Q288" s="6"/>
      <c r="R288" s="6"/>
    </row>
    <row r="289" spans="1:18" x14ac:dyDescent="0.25">
      <c r="A289" s="13"/>
      <c r="B289" s="13"/>
      <c r="C289" s="13"/>
      <c r="D289" s="6"/>
      <c r="E289" s="6"/>
      <c r="F289" s="7"/>
      <c r="G289" s="8" t="e">
        <f>VLOOKUP(F289,'controle saldo'!A$2:N$240,3,FALSE)</f>
        <v>#N/A</v>
      </c>
      <c r="H289" s="7"/>
      <c r="I289" s="9"/>
      <c r="J289" s="10"/>
      <c r="K289" s="6"/>
      <c r="L289" s="6"/>
      <c r="M289" s="11"/>
      <c r="N289" s="12"/>
      <c r="O289" s="13"/>
      <c r="P289" s="6"/>
      <c r="Q289" s="6"/>
      <c r="R289" s="6"/>
    </row>
    <row r="290" spans="1:18" x14ac:dyDescent="0.25">
      <c r="A290" s="13"/>
      <c r="B290" s="13"/>
      <c r="C290" s="13"/>
      <c r="D290" s="6"/>
      <c r="E290" s="6"/>
      <c r="F290" s="7"/>
      <c r="G290" s="8" t="e">
        <f>VLOOKUP(F290,'controle saldo'!A$2:N$240,3,FALSE)</f>
        <v>#N/A</v>
      </c>
      <c r="H290" s="7"/>
      <c r="I290" s="9"/>
      <c r="J290" s="10"/>
      <c r="K290" s="6"/>
      <c r="L290" s="6"/>
      <c r="M290" s="11"/>
      <c r="N290" s="12"/>
      <c r="O290" s="13"/>
      <c r="P290" s="6"/>
      <c r="Q290" s="6"/>
      <c r="R290" s="6"/>
    </row>
    <row r="291" spans="1:18" x14ac:dyDescent="0.25">
      <c r="A291" s="13"/>
      <c r="B291" s="13"/>
      <c r="C291" s="13"/>
      <c r="D291" s="6"/>
      <c r="E291" s="6"/>
      <c r="F291" s="7"/>
      <c r="G291" s="8" t="e">
        <f>VLOOKUP(F291,'controle saldo'!A$2:N$240,3,FALSE)</f>
        <v>#N/A</v>
      </c>
      <c r="H291" s="7"/>
      <c r="I291" s="9"/>
      <c r="J291" s="10"/>
      <c r="K291" s="6"/>
      <c r="L291" s="6"/>
      <c r="M291" s="11"/>
      <c r="N291" s="12"/>
      <c r="O291" s="13"/>
      <c r="P291" s="6"/>
      <c r="Q291" s="6"/>
      <c r="R291" s="6"/>
    </row>
    <row r="292" spans="1:18" x14ac:dyDescent="0.25">
      <c r="A292" s="13"/>
      <c r="B292" s="13"/>
      <c r="C292" s="13"/>
      <c r="D292" s="6"/>
      <c r="E292" s="6"/>
      <c r="F292" s="7"/>
      <c r="G292" s="8" t="e">
        <f>VLOOKUP(F292,'controle saldo'!A$2:N$240,3,FALSE)</f>
        <v>#N/A</v>
      </c>
      <c r="H292" s="7"/>
      <c r="I292" s="9"/>
      <c r="J292" s="10"/>
      <c r="K292" s="6"/>
      <c r="L292" s="6"/>
      <c r="M292" s="11"/>
      <c r="N292" s="12"/>
      <c r="O292" s="13"/>
      <c r="P292" s="6"/>
      <c r="Q292" s="6"/>
      <c r="R292" s="6"/>
    </row>
    <row r="293" spans="1:18" x14ac:dyDescent="0.25">
      <c r="A293" s="13"/>
      <c r="B293" s="13"/>
      <c r="C293" s="13"/>
      <c r="D293" s="6"/>
      <c r="E293" s="6"/>
      <c r="F293" s="7"/>
      <c r="G293" s="8" t="e">
        <f>VLOOKUP(F293,'controle saldo'!A$2:N$240,3,FALSE)</f>
        <v>#N/A</v>
      </c>
      <c r="H293" s="7"/>
      <c r="I293" s="9"/>
      <c r="J293" s="10"/>
      <c r="K293" s="6"/>
      <c r="L293" s="6"/>
      <c r="M293" s="11"/>
      <c r="N293" s="12"/>
      <c r="O293" s="13"/>
      <c r="P293" s="6"/>
      <c r="Q293" s="6"/>
      <c r="R293" s="6"/>
    </row>
    <row r="294" spans="1:18" x14ac:dyDescent="0.25">
      <c r="A294" s="13"/>
      <c r="B294" s="13"/>
      <c r="C294" s="13"/>
      <c r="D294" s="6"/>
      <c r="E294" s="6"/>
      <c r="F294" s="7"/>
      <c r="G294" s="8" t="e">
        <f>VLOOKUP(F294,'controle saldo'!A$2:N$240,3,FALSE)</f>
        <v>#N/A</v>
      </c>
      <c r="H294" s="7"/>
      <c r="I294" s="9"/>
      <c r="J294" s="10"/>
      <c r="K294" s="6"/>
      <c r="L294" s="6"/>
      <c r="M294" s="11"/>
      <c r="N294" s="12"/>
      <c r="O294" s="13"/>
      <c r="P294" s="6"/>
      <c r="Q294" s="6"/>
      <c r="R294" s="6"/>
    </row>
    <row r="295" spans="1:18" x14ac:dyDescent="0.25">
      <c r="A295" s="13"/>
      <c r="B295" s="13"/>
      <c r="C295" s="13"/>
      <c r="D295" s="6"/>
      <c r="E295" s="6"/>
      <c r="F295" s="7"/>
      <c r="G295" s="8" t="e">
        <f>VLOOKUP(F295,'controle saldo'!A$2:N$240,3,FALSE)</f>
        <v>#N/A</v>
      </c>
      <c r="H295" s="7"/>
      <c r="I295" s="9"/>
      <c r="J295" s="10"/>
      <c r="K295" s="6"/>
      <c r="L295" s="6"/>
      <c r="M295" s="11"/>
      <c r="N295" s="12"/>
      <c r="O295" s="13"/>
      <c r="P295" s="6"/>
      <c r="Q295" s="6"/>
      <c r="R295" s="6"/>
    </row>
    <row r="296" spans="1:18" x14ac:dyDescent="0.25">
      <c r="A296" s="13"/>
      <c r="B296" s="13"/>
      <c r="C296" s="13"/>
      <c r="D296" s="6"/>
      <c r="E296" s="6"/>
      <c r="F296" s="7"/>
      <c r="G296" s="8" t="e">
        <f>VLOOKUP(F296,'controle saldo'!A$2:N$240,3,FALSE)</f>
        <v>#N/A</v>
      </c>
      <c r="H296" s="7"/>
      <c r="I296" s="9"/>
      <c r="J296" s="10"/>
      <c r="K296" s="6"/>
      <c r="L296" s="6"/>
      <c r="M296" s="11"/>
      <c r="N296" s="12"/>
      <c r="O296" s="13"/>
      <c r="P296" s="6"/>
      <c r="Q296" s="6"/>
      <c r="R296" s="6"/>
    </row>
    <row r="297" spans="1:18" x14ac:dyDescent="0.25">
      <c r="A297" s="13"/>
      <c r="B297" s="13"/>
      <c r="C297" s="13"/>
      <c r="D297" s="6"/>
      <c r="E297" s="6"/>
      <c r="F297" s="7"/>
      <c r="G297" s="8" t="e">
        <f>VLOOKUP(F297,'controle saldo'!A$2:N$240,3,FALSE)</f>
        <v>#N/A</v>
      </c>
      <c r="H297" s="7"/>
      <c r="I297" s="9"/>
      <c r="J297" s="10"/>
      <c r="K297" s="6"/>
      <c r="L297" s="6"/>
      <c r="M297" s="11"/>
      <c r="N297" s="12"/>
      <c r="O297" s="13"/>
      <c r="P297" s="6"/>
      <c r="Q297" s="6"/>
      <c r="R297" s="6"/>
    </row>
    <row r="298" spans="1:18" x14ac:dyDescent="0.25">
      <c r="A298" s="13"/>
      <c r="B298" s="13"/>
      <c r="C298" s="13"/>
      <c r="D298" s="6"/>
      <c r="E298" s="6"/>
      <c r="F298" s="7"/>
      <c r="G298" s="8" t="e">
        <f>VLOOKUP(F298,'controle saldo'!A$2:N$240,3,FALSE)</f>
        <v>#N/A</v>
      </c>
      <c r="H298" s="7"/>
      <c r="I298" s="9"/>
      <c r="J298" s="10"/>
      <c r="K298" s="6"/>
      <c r="L298" s="6"/>
      <c r="M298" s="11"/>
      <c r="N298" s="12"/>
      <c r="O298" s="13"/>
      <c r="P298" s="6"/>
      <c r="Q298" s="6"/>
      <c r="R298" s="6"/>
    </row>
    <row r="299" spans="1:18" x14ac:dyDescent="0.25">
      <c r="A299" s="13"/>
      <c r="B299" s="13"/>
      <c r="C299" s="13"/>
      <c r="D299" s="6"/>
      <c r="E299" s="6"/>
      <c r="F299" s="7"/>
      <c r="G299" s="8" t="e">
        <f>VLOOKUP(F299,'controle saldo'!A$2:N$240,3,FALSE)</f>
        <v>#N/A</v>
      </c>
      <c r="H299" s="7"/>
      <c r="I299" s="9"/>
      <c r="J299" s="10"/>
      <c r="K299" s="6"/>
      <c r="L299" s="6"/>
      <c r="M299" s="11"/>
      <c r="N299" s="12"/>
      <c r="O299" s="13"/>
      <c r="P299" s="6"/>
      <c r="Q299" s="6"/>
      <c r="R299" s="6"/>
    </row>
    <row r="300" spans="1:18" x14ac:dyDescent="0.25">
      <c r="A300" s="13"/>
      <c r="B300" s="13"/>
      <c r="C300" s="13"/>
      <c r="D300" s="6"/>
      <c r="E300" s="6"/>
      <c r="F300" s="7"/>
      <c r="G300" s="8" t="e">
        <f>VLOOKUP(F300,'controle saldo'!A$2:N$240,3,FALSE)</f>
        <v>#N/A</v>
      </c>
      <c r="H300" s="7"/>
      <c r="I300" s="9"/>
      <c r="J300" s="10"/>
      <c r="K300" s="6"/>
      <c r="L300" s="6"/>
      <c r="M300" s="11"/>
      <c r="N300" s="12"/>
      <c r="O300" s="13"/>
      <c r="P300" s="6"/>
      <c r="Q300" s="6"/>
      <c r="R300" s="6"/>
    </row>
    <row r="301" spans="1:18" x14ac:dyDescent="0.25">
      <c r="A301" s="13"/>
      <c r="B301" s="13"/>
      <c r="C301" s="13"/>
      <c r="D301" s="6"/>
      <c r="E301" s="6"/>
      <c r="F301" s="7"/>
      <c r="G301" s="8" t="e">
        <f>VLOOKUP(F301,'controle saldo'!A$2:N$240,3,FALSE)</f>
        <v>#N/A</v>
      </c>
      <c r="H301" s="7"/>
      <c r="I301" s="9"/>
      <c r="J301" s="10"/>
      <c r="K301" s="6"/>
      <c r="L301" s="6"/>
      <c r="M301" s="11"/>
      <c r="N301" s="12"/>
      <c r="O301" s="13"/>
      <c r="P301" s="6"/>
      <c r="Q301" s="6"/>
      <c r="R301" s="6"/>
    </row>
    <row r="302" spans="1:18" x14ac:dyDescent="0.25">
      <c r="A302" s="13"/>
      <c r="B302" s="13"/>
      <c r="C302" s="13"/>
      <c r="D302" s="6"/>
      <c r="E302" s="6"/>
      <c r="F302" s="7"/>
      <c r="G302" s="8" t="e">
        <f>VLOOKUP(F302,'controle saldo'!A$2:N$240,3,FALSE)</f>
        <v>#N/A</v>
      </c>
      <c r="H302" s="7"/>
      <c r="I302" s="9"/>
      <c r="J302" s="10"/>
      <c r="K302" s="6"/>
      <c r="L302" s="6"/>
      <c r="M302" s="11"/>
      <c r="N302" s="12"/>
      <c r="O302" s="13"/>
      <c r="P302" s="6"/>
      <c r="Q302" s="6"/>
      <c r="R302" s="6"/>
    </row>
    <row r="303" spans="1:18" x14ac:dyDescent="0.25">
      <c r="A303" s="13"/>
      <c r="B303" s="13"/>
      <c r="C303" s="13"/>
      <c r="D303" s="6"/>
      <c r="E303" s="6"/>
      <c r="F303" s="7"/>
      <c r="G303" s="8" t="e">
        <f>VLOOKUP(F303,'controle saldo'!A$2:N$240,3,FALSE)</f>
        <v>#N/A</v>
      </c>
      <c r="H303" s="7"/>
      <c r="I303" s="9"/>
      <c r="J303" s="10"/>
      <c r="K303" s="6"/>
      <c r="L303" s="6"/>
      <c r="M303" s="11"/>
      <c r="N303" s="12"/>
      <c r="O303" s="13"/>
      <c r="P303" s="6"/>
      <c r="Q303" s="6"/>
      <c r="R303" s="6"/>
    </row>
    <row r="304" spans="1:18" x14ac:dyDescent="0.25">
      <c r="A304" s="13"/>
      <c r="B304" s="13"/>
      <c r="C304" s="13"/>
      <c r="D304" s="6"/>
      <c r="E304" s="6"/>
      <c r="F304" s="7"/>
      <c r="G304" s="8" t="e">
        <f>VLOOKUP(F304,'controle saldo'!A$2:N$240,3,FALSE)</f>
        <v>#N/A</v>
      </c>
      <c r="H304" s="7"/>
      <c r="I304" s="9"/>
      <c r="J304" s="10"/>
      <c r="K304" s="6"/>
      <c r="L304" s="6"/>
      <c r="M304" s="11"/>
      <c r="N304" s="12"/>
      <c r="O304" s="13"/>
      <c r="P304" s="6"/>
      <c r="Q304" s="6"/>
      <c r="R304" s="6"/>
    </row>
    <row r="305" spans="1:18" x14ac:dyDescent="0.25">
      <c r="A305" s="13"/>
      <c r="B305" s="13"/>
      <c r="C305" s="13"/>
      <c r="D305" s="6"/>
      <c r="E305" s="6"/>
      <c r="F305" s="7"/>
      <c r="G305" s="8" t="e">
        <f>VLOOKUP(F305,'controle saldo'!A$2:N$240,3,FALSE)</f>
        <v>#N/A</v>
      </c>
      <c r="H305" s="7"/>
      <c r="I305" s="9"/>
      <c r="J305" s="10"/>
      <c r="K305" s="6"/>
      <c r="L305" s="6"/>
      <c r="M305" s="11"/>
      <c r="N305" s="12"/>
      <c r="O305" s="13"/>
      <c r="P305" s="6"/>
      <c r="Q305" s="6"/>
      <c r="R305" s="6"/>
    </row>
    <row r="306" spans="1:18" x14ac:dyDescent="0.25">
      <c r="A306" s="13"/>
      <c r="B306" s="13"/>
      <c r="C306" s="13"/>
      <c r="D306" s="6"/>
      <c r="E306" s="6"/>
      <c r="F306" s="7"/>
      <c r="G306" s="8" t="e">
        <f>VLOOKUP(F306,'controle saldo'!A$2:N$240,3,FALSE)</f>
        <v>#N/A</v>
      </c>
      <c r="H306" s="7"/>
      <c r="I306" s="9"/>
      <c r="J306" s="10"/>
      <c r="K306" s="6"/>
      <c r="L306" s="6"/>
      <c r="M306" s="11"/>
      <c r="N306" s="12"/>
      <c r="O306" s="13"/>
      <c r="P306" s="6"/>
      <c r="Q306" s="6"/>
      <c r="R306" s="6"/>
    </row>
    <row r="307" spans="1:18" x14ac:dyDescent="0.25">
      <c r="A307" s="13"/>
      <c r="B307" s="13"/>
      <c r="C307" s="13"/>
      <c r="D307" s="6"/>
      <c r="E307" s="6"/>
      <c r="F307" s="7"/>
      <c r="G307" s="8" t="e">
        <f>VLOOKUP(F307,'controle saldo'!A$2:N$240,3,FALSE)</f>
        <v>#N/A</v>
      </c>
      <c r="H307" s="7"/>
      <c r="I307" s="9"/>
      <c r="J307" s="10"/>
      <c r="K307" s="6"/>
      <c r="L307" s="6"/>
      <c r="M307" s="11"/>
      <c r="N307" s="12"/>
      <c r="O307" s="13"/>
      <c r="P307" s="6"/>
      <c r="Q307" s="6"/>
      <c r="R307" s="6"/>
    </row>
    <row r="308" spans="1:18" x14ac:dyDescent="0.25">
      <c r="A308" s="13"/>
      <c r="B308" s="13"/>
      <c r="C308" s="13"/>
      <c r="D308" s="6"/>
      <c r="E308" s="6"/>
      <c r="F308" s="7"/>
      <c r="G308" s="8" t="e">
        <f>VLOOKUP(F308,'controle saldo'!A$2:N$240,3,FALSE)</f>
        <v>#N/A</v>
      </c>
      <c r="H308" s="7"/>
      <c r="I308" s="9"/>
      <c r="J308" s="10"/>
      <c r="K308" s="6"/>
      <c r="L308" s="6"/>
      <c r="M308" s="11"/>
      <c r="N308" s="12"/>
      <c r="O308" s="13"/>
      <c r="P308" s="6"/>
      <c r="Q308" s="6"/>
      <c r="R308" s="6"/>
    </row>
    <row r="309" spans="1:18" x14ac:dyDescent="0.25">
      <c r="A309" s="13"/>
      <c r="B309" s="13"/>
      <c r="C309" s="13"/>
      <c r="D309" s="6"/>
      <c r="E309" s="6"/>
      <c r="F309" s="7"/>
      <c r="G309" s="8" t="e">
        <f>VLOOKUP(F309,'controle saldo'!A$2:N$240,3,FALSE)</f>
        <v>#N/A</v>
      </c>
      <c r="H309" s="7"/>
      <c r="I309" s="9"/>
      <c r="J309" s="10"/>
      <c r="K309" s="6"/>
      <c r="L309" s="6"/>
      <c r="M309" s="11"/>
      <c r="N309" s="12"/>
      <c r="O309" s="13"/>
      <c r="P309" s="6"/>
      <c r="Q309" s="6"/>
      <c r="R309" s="6"/>
    </row>
    <row r="310" spans="1:18" x14ac:dyDescent="0.25">
      <c r="A310" s="13"/>
      <c r="B310" s="13"/>
      <c r="C310" s="13"/>
      <c r="D310" s="6"/>
      <c r="E310" s="6"/>
      <c r="F310" s="7"/>
      <c r="G310" s="8" t="e">
        <f>VLOOKUP(F310,'controle saldo'!A$2:N$240,3,FALSE)</f>
        <v>#N/A</v>
      </c>
      <c r="H310" s="7"/>
      <c r="I310" s="9"/>
      <c r="J310" s="10"/>
      <c r="K310" s="6"/>
      <c r="L310" s="6"/>
      <c r="M310" s="11"/>
      <c r="N310" s="12"/>
      <c r="O310" s="13"/>
      <c r="P310" s="6"/>
      <c r="Q310" s="6"/>
      <c r="R310" s="6"/>
    </row>
    <row r="311" spans="1:18" x14ac:dyDescent="0.25">
      <c r="A311" s="13"/>
      <c r="B311" s="13"/>
      <c r="C311" s="13"/>
      <c r="D311" s="6"/>
      <c r="E311" s="6"/>
      <c r="F311" s="7"/>
      <c r="G311" s="8" t="e">
        <f>VLOOKUP(F311,'controle saldo'!A$2:N$240,3,FALSE)</f>
        <v>#N/A</v>
      </c>
      <c r="H311" s="7"/>
      <c r="I311" s="9"/>
      <c r="J311" s="10"/>
      <c r="K311" s="6"/>
      <c r="L311" s="6"/>
      <c r="M311" s="11"/>
      <c r="N311" s="12"/>
      <c r="O311" s="13"/>
      <c r="P311" s="6"/>
      <c r="Q311" s="6"/>
      <c r="R311" s="6"/>
    </row>
    <row r="312" spans="1:18" x14ac:dyDescent="0.25">
      <c r="A312" s="13"/>
      <c r="B312" s="13"/>
      <c r="C312" s="13"/>
      <c r="D312" s="6"/>
      <c r="E312" s="6"/>
      <c r="F312" s="7"/>
      <c r="G312" s="8" t="e">
        <f>VLOOKUP(F312,'controle saldo'!A$2:N$240,3,FALSE)</f>
        <v>#N/A</v>
      </c>
      <c r="H312" s="7"/>
      <c r="I312" s="9"/>
      <c r="J312" s="10"/>
      <c r="K312" s="6"/>
      <c r="L312" s="6"/>
      <c r="M312" s="11"/>
      <c r="N312" s="12"/>
      <c r="O312" s="13"/>
      <c r="P312" s="6"/>
      <c r="Q312" s="6"/>
      <c r="R312" s="6"/>
    </row>
    <row r="313" spans="1:18" x14ac:dyDescent="0.25">
      <c r="A313" s="13"/>
      <c r="B313" s="13"/>
      <c r="C313" s="13"/>
      <c r="D313" s="6"/>
      <c r="E313" s="6"/>
      <c r="F313" s="7"/>
      <c r="G313" s="8" t="e">
        <f>VLOOKUP(F313,'controle saldo'!A$2:N$240,3,FALSE)</f>
        <v>#N/A</v>
      </c>
      <c r="H313" s="7"/>
      <c r="I313" s="9"/>
      <c r="J313" s="10"/>
      <c r="K313" s="6"/>
      <c r="L313" s="6"/>
      <c r="M313" s="11"/>
      <c r="N313" s="12"/>
      <c r="O313" s="13"/>
      <c r="P313" s="6"/>
      <c r="Q313" s="6"/>
      <c r="R313" s="6"/>
    </row>
    <row r="314" spans="1:18" x14ac:dyDescent="0.25">
      <c r="A314" s="13"/>
      <c r="B314" s="13"/>
      <c r="C314" s="13"/>
      <c r="D314" s="6"/>
      <c r="E314" s="6"/>
      <c r="F314" s="7"/>
      <c r="G314" s="8" t="e">
        <f>VLOOKUP(F314,'controle saldo'!A$2:N$240,3,FALSE)</f>
        <v>#N/A</v>
      </c>
      <c r="H314" s="7"/>
      <c r="I314" s="9"/>
      <c r="J314" s="10"/>
      <c r="K314" s="6"/>
      <c r="L314" s="6"/>
      <c r="M314" s="11"/>
      <c r="N314" s="12"/>
      <c r="O314" s="13"/>
      <c r="P314" s="6"/>
      <c r="Q314" s="6"/>
      <c r="R314" s="6"/>
    </row>
    <row r="315" spans="1:18" x14ac:dyDescent="0.25">
      <c r="A315" s="13"/>
      <c r="B315" s="13"/>
      <c r="C315" s="13"/>
      <c r="D315" s="6"/>
      <c r="E315" s="6"/>
      <c r="F315" s="7"/>
      <c r="G315" s="8" t="e">
        <f>VLOOKUP(F315,'controle saldo'!A$2:N$240,3,FALSE)</f>
        <v>#N/A</v>
      </c>
      <c r="H315" s="7"/>
      <c r="I315" s="9"/>
      <c r="J315" s="10"/>
      <c r="K315" s="6"/>
      <c r="L315" s="6"/>
      <c r="M315" s="11"/>
      <c r="N315" s="12"/>
      <c r="O315" s="13"/>
      <c r="P315" s="6"/>
      <c r="Q315" s="6"/>
      <c r="R315" s="6"/>
    </row>
    <row r="316" spans="1:18" x14ac:dyDescent="0.25">
      <c r="A316" s="13"/>
      <c r="B316" s="13"/>
      <c r="C316" s="13"/>
      <c r="D316" s="6"/>
      <c r="E316" s="6"/>
      <c r="F316" s="7"/>
      <c r="G316" s="8" t="e">
        <f>VLOOKUP(F316,'controle saldo'!A$2:N$240,3,FALSE)</f>
        <v>#N/A</v>
      </c>
      <c r="H316" s="7"/>
      <c r="I316" s="9"/>
      <c r="J316" s="10"/>
      <c r="K316" s="6"/>
      <c r="L316" s="6"/>
      <c r="M316" s="11"/>
      <c r="N316" s="12"/>
      <c r="O316" s="13"/>
      <c r="P316" s="6"/>
      <c r="Q316" s="6"/>
      <c r="R316" s="6"/>
    </row>
    <row r="317" spans="1:18" x14ac:dyDescent="0.25">
      <c r="A317" s="13"/>
      <c r="B317" s="13"/>
      <c r="C317" s="13"/>
      <c r="D317" s="6"/>
      <c r="E317" s="6"/>
      <c r="F317" s="7"/>
      <c r="G317" s="8" t="e">
        <f>VLOOKUP(F317,'controle saldo'!A$2:N$240,3,FALSE)</f>
        <v>#N/A</v>
      </c>
      <c r="H317" s="7"/>
      <c r="I317" s="9"/>
      <c r="J317" s="10"/>
      <c r="K317" s="6"/>
      <c r="L317" s="6"/>
      <c r="M317" s="11"/>
      <c r="N317" s="12"/>
      <c r="O317" s="13"/>
      <c r="P317" s="6"/>
      <c r="Q317" s="6"/>
      <c r="R317" s="6"/>
    </row>
    <row r="318" spans="1:18" x14ac:dyDescent="0.25">
      <c r="A318" s="13"/>
      <c r="B318" s="13"/>
      <c r="C318" s="13"/>
      <c r="D318" s="6"/>
      <c r="E318" s="6"/>
      <c r="F318" s="7"/>
      <c r="G318" s="8" t="e">
        <f>VLOOKUP(F318,'controle saldo'!A$2:N$240,3,FALSE)</f>
        <v>#N/A</v>
      </c>
      <c r="H318" s="7"/>
      <c r="I318" s="9"/>
      <c r="J318" s="10"/>
      <c r="K318" s="6"/>
      <c r="L318" s="6"/>
      <c r="M318" s="11"/>
      <c r="N318" s="12"/>
      <c r="O318" s="13"/>
      <c r="P318" s="6"/>
      <c r="Q318" s="6"/>
      <c r="R318" s="6"/>
    </row>
    <row r="319" spans="1:18" x14ac:dyDescent="0.25">
      <c r="A319" s="13"/>
      <c r="B319" s="13"/>
      <c r="C319" s="13"/>
      <c r="D319" s="6"/>
      <c r="E319" s="6"/>
      <c r="F319" s="7"/>
      <c r="G319" s="8" t="e">
        <f>VLOOKUP(F319,'controle saldo'!A$2:N$240,3,FALSE)</f>
        <v>#N/A</v>
      </c>
      <c r="H319" s="7"/>
      <c r="I319" s="9"/>
      <c r="J319" s="10"/>
      <c r="K319" s="6"/>
      <c r="L319" s="6"/>
      <c r="M319" s="11"/>
      <c r="N319" s="12"/>
      <c r="O319" s="13"/>
      <c r="P319" s="6"/>
      <c r="Q319" s="6"/>
      <c r="R319" s="6"/>
    </row>
    <row r="320" spans="1:18" x14ac:dyDescent="0.25">
      <c r="A320" s="13"/>
      <c r="B320" s="13"/>
      <c r="C320" s="13"/>
      <c r="D320" s="6"/>
      <c r="E320" s="6"/>
      <c r="F320" s="7"/>
      <c r="G320" s="8" t="e">
        <f>VLOOKUP(F320,'controle saldo'!A$2:N$240,3,FALSE)</f>
        <v>#N/A</v>
      </c>
      <c r="H320" s="7"/>
      <c r="I320" s="9"/>
      <c r="J320" s="10"/>
      <c r="K320" s="6"/>
      <c r="L320" s="6"/>
      <c r="M320" s="11"/>
      <c r="N320" s="12"/>
      <c r="O320" s="13"/>
      <c r="P320" s="6"/>
      <c r="Q320" s="6"/>
      <c r="R320" s="6"/>
    </row>
    <row r="321" spans="1:18" x14ac:dyDescent="0.25">
      <c r="A321" s="13"/>
      <c r="B321" s="13"/>
      <c r="C321" s="13"/>
      <c r="D321" s="6"/>
      <c r="E321" s="6"/>
      <c r="F321" s="7"/>
      <c r="G321" s="8" t="e">
        <f>VLOOKUP(F321,'controle saldo'!A$2:N$240,3,FALSE)</f>
        <v>#N/A</v>
      </c>
      <c r="H321" s="7"/>
      <c r="I321" s="9"/>
      <c r="J321" s="10"/>
      <c r="K321" s="6"/>
      <c r="L321" s="6"/>
      <c r="M321" s="11"/>
      <c r="N321" s="12"/>
      <c r="O321" s="13"/>
      <c r="P321" s="6"/>
      <c r="Q321" s="6"/>
      <c r="R321" s="6"/>
    </row>
    <row r="322" spans="1:18" x14ac:dyDescent="0.25">
      <c r="A322" s="13"/>
      <c r="B322" s="13"/>
      <c r="C322" s="13"/>
      <c r="D322" s="6"/>
      <c r="E322" s="6"/>
      <c r="F322" s="7"/>
      <c r="G322" s="8" t="e">
        <f>VLOOKUP(F322,'controle saldo'!A$2:N$240,3,FALSE)</f>
        <v>#N/A</v>
      </c>
      <c r="H322" s="7"/>
      <c r="I322" s="9"/>
      <c r="J322" s="10"/>
      <c r="K322" s="6"/>
      <c r="L322" s="6"/>
      <c r="M322" s="11"/>
      <c r="N322" s="12"/>
      <c r="O322" s="13"/>
      <c r="P322" s="6"/>
      <c r="Q322" s="6"/>
      <c r="R322" s="6"/>
    </row>
    <row r="323" spans="1:18" x14ac:dyDescent="0.25">
      <c r="A323" s="13"/>
      <c r="B323" s="13"/>
      <c r="C323" s="13"/>
      <c r="D323" s="6"/>
      <c r="E323" s="6"/>
      <c r="F323" s="7"/>
      <c r="G323" s="8" t="e">
        <f>VLOOKUP(F323,'controle saldo'!A$2:N$240,3,FALSE)</f>
        <v>#N/A</v>
      </c>
      <c r="H323" s="7"/>
      <c r="I323" s="9"/>
      <c r="J323" s="10"/>
      <c r="K323" s="6"/>
      <c r="L323" s="6"/>
      <c r="M323" s="11"/>
      <c r="N323" s="12"/>
      <c r="O323" s="13"/>
      <c r="P323" s="6"/>
      <c r="Q323" s="6"/>
      <c r="R323" s="6"/>
    </row>
    <row r="324" spans="1:18" x14ac:dyDescent="0.25">
      <c r="A324" s="13"/>
      <c r="B324" s="13"/>
      <c r="C324" s="13"/>
      <c r="D324" s="6"/>
      <c r="E324" s="6"/>
      <c r="F324" s="7"/>
      <c r="G324" s="8" t="e">
        <f>VLOOKUP(F324,'controle saldo'!A$2:N$240,3,FALSE)</f>
        <v>#N/A</v>
      </c>
      <c r="H324" s="7"/>
      <c r="I324" s="9"/>
      <c r="J324" s="10"/>
      <c r="K324" s="6"/>
      <c r="L324" s="6"/>
      <c r="M324" s="11"/>
      <c r="N324" s="12"/>
      <c r="O324" s="13"/>
      <c r="P324" s="6"/>
      <c r="Q324" s="6"/>
      <c r="R324" s="6"/>
    </row>
    <row r="325" spans="1:18" x14ac:dyDescent="0.25">
      <c r="A325" s="13"/>
      <c r="B325" s="13"/>
      <c r="C325" s="13"/>
      <c r="D325" s="6"/>
      <c r="E325" s="6"/>
      <c r="F325" s="7"/>
      <c r="G325" s="8" t="e">
        <f>VLOOKUP(F325,'controle saldo'!A$2:N$240,3,FALSE)</f>
        <v>#N/A</v>
      </c>
      <c r="H325" s="7"/>
      <c r="I325" s="9"/>
      <c r="J325" s="10"/>
      <c r="K325" s="6"/>
      <c r="L325" s="6"/>
      <c r="M325" s="11"/>
      <c r="N325" s="12"/>
      <c r="O325" s="13"/>
      <c r="P325" s="6"/>
      <c r="Q325" s="6"/>
      <c r="R325" s="6"/>
    </row>
    <row r="326" spans="1:18" x14ac:dyDescent="0.25">
      <c r="A326" s="13"/>
      <c r="B326" s="13"/>
      <c r="C326" s="13"/>
      <c r="D326" s="6"/>
      <c r="E326" s="6"/>
      <c r="F326" s="7"/>
      <c r="G326" s="8" t="e">
        <f>VLOOKUP(F326,'controle saldo'!A$2:N$240,3,FALSE)</f>
        <v>#N/A</v>
      </c>
      <c r="H326" s="7"/>
      <c r="I326" s="9"/>
      <c r="J326" s="10"/>
      <c r="K326" s="6"/>
      <c r="L326" s="6"/>
      <c r="M326" s="11"/>
      <c r="N326" s="12"/>
      <c r="O326" s="13"/>
      <c r="P326" s="6"/>
      <c r="Q326" s="6"/>
      <c r="R326" s="6"/>
    </row>
    <row r="327" spans="1:18" x14ac:dyDescent="0.25">
      <c r="A327" s="13"/>
      <c r="B327" s="13"/>
      <c r="C327" s="13"/>
      <c r="D327" s="6"/>
      <c r="E327" s="6"/>
      <c r="F327" s="7"/>
      <c r="G327" s="8" t="e">
        <f>VLOOKUP(F327,'controle saldo'!A$2:N$240,3,FALSE)</f>
        <v>#N/A</v>
      </c>
      <c r="H327" s="7"/>
      <c r="I327" s="9"/>
      <c r="J327" s="10"/>
      <c r="K327" s="6"/>
      <c r="L327" s="6"/>
      <c r="M327" s="11"/>
      <c r="N327" s="12"/>
      <c r="O327" s="13"/>
      <c r="P327" s="6"/>
      <c r="Q327" s="6"/>
      <c r="R327" s="6"/>
    </row>
    <row r="328" spans="1:18" x14ac:dyDescent="0.25">
      <c r="A328" s="13"/>
      <c r="B328" s="13"/>
      <c r="C328" s="13"/>
      <c r="D328" s="6"/>
      <c r="E328" s="6"/>
      <c r="F328" s="7"/>
      <c r="G328" s="8" t="e">
        <f>VLOOKUP(F328,'controle saldo'!A$2:N$240,3,FALSE)</f>
        <v>#N/A</v>
      </c>
      <c r="H328" s="7"/>
      <c r="I328" s="9"/>
      <c r="J328" s="10"/>
      <c r="K328" s="6"/>
      <c r="L328" s="6"/>
      <c r="M328" s="11"/>
      <c r="N328" s="12"/>
      <c r="O328" s="13"/>
      <c r="P328" s="6"/>
      <c r="Q328" s="6"/>
      <c r="R328" s="6"/>
    </row>
    <row r="329" spans="1:18" x14ac:dyDescent="0.25">
      <c r="A329" s="13"/>
      <c r="B329" s="13"/>
      <c r="C329" s="13"/>
      <c r="D329" s="6"/>
      <c r="E329" s="6"/>
      <c r="F329" s="7"/>
      <c r="G329" s="8" t="e">
        <f>VLOOKUP(F329,'controle saldo'!A$2:N$240,3,FALSE)</f>
        <v>#N/A</v>
      </c>
      <c r="H329" s="7"/>
      <c r="I329" s="9"/>
      <c r="J329" s="10"/>
      <c r="K329" s="6"/>
      <c r="L329" s="6"/>
      <c r="M329" s="11"/>
      <c r="N329" s="12"/>
      <c r="O329" s="13"/>
      <c r="P329" s="6"/>
      <c r="Q329" s="6"/>
      <c r="R329" s="6"/>
    </row>
    <row r="330" spans="1:18" x14ac:dyDescent="0.25">
      <c r="A330" s="13"/>
      <c r="B330" s="13"/>
      <c r="C330" s="13"/>
      <c r="D330" s="6"/>
      <c r="E330" s="6"/>
      <c r="F330" s="7"/>
      <c r="G330" s="8" t="e">
        <f>VLOOKUP(F330,'controle saldo'!A$2:N$240,3,FALSE)</f>
        <v>#N/A</v>
      </c>
      <c r="H330" s="7"/>
      <c r="I330" s="9"/>
      <c r="J330" s="10"/>
      <c r="K330" s="6"/>
      <c r="L330" s="6"/>
      <c r="M330" s="11"/>
      <c r="N330" s="12"/>
      <c r="O330" s="13"/>
      <c r="P330" s="6"/>
      <c r="Q330" s="6"/>
      <c r="R330" s="6"/>
    </row>
    <row r="331" spans="1:18" x14ac:dyDescent="0.25">
      <c r="A331" s="13"/>
      <c r="B331" s="13"/>
      <c r="C331" s="13"/>
      <c r="D331" s="6"/>
      <c r="E331" s="6"/>
      <c r="F331" s="7"/>
      <c r="G331" s="8" t="e">
        <f>VLOOKUP(F331,'controle saldo'!A$2:N$240,3,FALSE)</f>
        <v>#N/A</v>
      </c>
      <c r="H331" s="7"/>
      <c r="I331" s="9"/>
      <c r="J331" s="10"/>
      <c r="K331" s="6"/>
      <c r="L331" s="6"/>
      <c r="M331" s="11"/>
      <c r="N331" s="12"/>
      <c r="O331" s="13"/>
      <c r="P331" s="6"/>
      <c r="Q331" s="6"/>
      <c r="R331" s="6"/>
    </row>
    <row r="332" spans="1:18" x14ac:dyDescent="0.25">
      <c r="A332" s="13"/>
      <c r="B332" s="13"/>
      <c r="C332" s="13"/>
      <c r="D332" s="6"/>
      <c r="E332" s="6"/>
      <c r="F332" s="7"/>
      <c r="G332" s="8" t="e">
        <f>VLOOKUP(F332,'controle saldo'!A$2:N$240,3,FALSE)</f>
        <v>#N/A</v>
      </c>
      <c r="H332" s="7"/>
      <c r="I332" s="9"/>
      <c r="J332" s="10"/>
      <c r="K332" s="6"/>
      <c r="L332" s="6"/>
      <c r="M332" s="11"/>
      <c r="N332" s="12"/>
      <c r="O332" s="13"/>
      <c r="P332" s="6"/>
      <c r="Q332" s="6"/>
      <c r="R332" s="6"/>
    </row>
    <row r="333" spans="1:18" x14ac:dyDescent="0.25">
      <c r="A333" s="13"/>
      <c r="B333" s="13"/>
      <c r="C333" s="13"/>
      <c r="D333" s="6"/>
      <c r="E333" s="6"/>
      <c r="F333" s="7"/>
      <c r="G333" s="8" t="e">
        <f>VLOOKUP(F333,'controle saldo'!A$2:N$240,3,FALSE)</f>
        <v>#N/A</v>
      </c>
      <c r="H333" s="7"/>
      <c r="I333" s="9"/>
      <c r="J333" s="10"/>
      <c r="K333" s="6"/>
      <c r="L333" s="6"/>
      <c r="M333" s="11"/>
      <c r="N333" s="12"/>
      <c r="O333" s="13"/>
      <c r="P333" s="6"/>
      <c r="Q333" s="6"/>
      <c r="R333" s="6"/>
    </row>
    <row r="334" spans="1:18" x14ac:dyDescent="0.25">
      <c r="A334" s="13"/>
      <c r="B334" s="13"/>
      <c r="C334" s="13"/>
      <c r="D334" s="6"/>
      <c r="E334" s="6"/>
      <c r="F334" s="7"/>
      <c r="G334" s="8" t="e">
        <f>VLOOKUP(F334,'controle saldo'!A$2:N$240,3,FALSE)</f>
        <v>#N/A</v>
      </c>
      <c r="H334" s="7"/>
      <c r="I334" s="9"/>
      <c r="J334" s="10"/>
      <c r="K334" s="6"/>
      <c r="L334" s="6"/>
      <c r="M334" s="11"/>
      <c r="N334" s="12"/>
      <c r="O334" s="13"/>
      <c r="P334" s="6"/>
      <c r="Q334" s="6"/>
      <c r="R334" s="6"/>
    </row>
    <row r="335" spans="1:18" x14ac:dyDescent="0.25">
      <c r="A335" s="13"/>
      <c r="B335" s="13"/>
      <c r="C335" s="13"/>
      <c r="D335" s="6"/>
      <c r="E335" s="6"/>
      <c r="F335" s="7"/>
      <c r="G335" s="8" t="e">
        <f>VLOOKUP(F335,'controle saldo'!A$2:N$240,3,FALSE)</f>
        <v>#N/A</v>
      </c>
      <c r="H335" s="7"/>
      <c r="I335" s="9"/>
      <c r="J335" s="10"/>
      <c r="K335" s="6"/>
      <c r="L335" s="6"/>
      <c r="M335" s="11"/>
      <c r="N335" s="12"/>
      <c r="O335" s="13"/>
      <c r="P335" s="6"/>
      <c r="Q335" s="6"/>
      <c r="R335" s="6"/>
    </row>
    <row r="336" spans="1:18" x14ac:dyDescent="0.25">
      <c r="A336" s="13"/>
      <c r="B336" s="13"/>
      <c r="C336" s="13"/>
      <c r="D336" s="6"/>
      <c r="E336" s="6"/>
      <c r="F336" s="7"/>
      <c r="G336" s="8" t="e">
        <f>VLOOKUP(F336,'controle saldo'!A$2:N$240,3,FALSE)</f>
        <v>#N/A</v>
      </c>
      <c r="H336" s="7"/>
      <c r="I336" s="9"/>
      <c r="J336" s="10"/>
      <c r="K336" s="6"/>
      <c r="L336" s="6"/>
      <c r="M336" s="11"/>
      <c r="N336" s="12"/>
      <c r="O336" s="13"/>
      <c r="P336" s="6"/>
      <c r="Q336" s="6"/>
      <c r="R336" s="6"/>
    </row>
    <row r="337" spans="1:18" x14ac:dyDescent="0.25">
      <c r="A337" s="13"/>
      <c r="B337" s="13"/>
      <c r="C337" s="13"/>
      <c r="D337" s="6"/>
      <c r="E337" s="6"/>
      <c r="F337" s="7"/>
      <c r="G337" s="8" t="e">
        <f>VLOOKUP(F337,'controle saldo'!A$2:N$240,3,FALSE)</f>
        <v>#N/A</v>
      </c>
      <c r="H337" s="7"/>
      <c r="I337" s="9"/>
      <c r="J337" s="10"/>
      <c r="K337" s="6"/>
      <c r="L337" s="6"/>
      <c r="M337" s="11"/>
      <c r="N337" s="12"/>
      <c r="O337" s="13"/>
      <c r="P337" s="6"/>
      <c r="Q337" s="6"/>
      <c r="R337" s="6"/>
    </row>
    <row r="338" spans="1:18" x14ac:dyDescent="0.25">
      <c r="A338" s="13"/>
      <c r="B338" s="13"/>
      <c r="C338" s="13"/>
      <c r="D338" s="6"/>
      <c r="E338" s="6"/>
      <c r="F338" s="7"/>
      <c r="G338" s="8" t="e">
        <f>VLOOKUP(F338,'controle saldo'!A$2:N$240,3,FALSE)</f>
        <v>#N/A</v>
      </c>
      <c r="H338" s="7"/>
      <c r="I338" s="9"/>
      <c r="J338" s="10"/>
      <c r="K338" s="6"/>
      <c r="L338" s="6"/>
      <c r="M338" s="11"/>
      <c r="N338" s="12"/>
      <c r="O338" s="13"/>
      <c r="P338" s="6"/>
      <c r="Q338" s="6"/>
      <c r="R338" s="6"/>
    </row>
    <row r="339" spans="1:18" x14ac:dyDescent="0.25">
      <c r="A339" s="13"/>
      <c r="B339" s="13"/>
      <c r="C339" s="13"/>
      <c r="D339" s="6"/>
      <c r="E339" s="6"/>
      <c r="F339" s="7"/>
      <c r="G339" s="8" t="e">
        <f>VLOOKUP(F339,'controle saldo'!A$2:N$240,3,FALSE)</f>
        <v>#N/A</v>
      </c>
      <c r="H339" s="7"/>
      <c r="I339" s="9"/>
      <c r="J339" s="10"/>
      <c r="K339" s="6"/>
      <c r="L339" s="6"/>
      <c r="M339" s="11"/>
      <c r="N339" s="12"/>
      <c r="O339" s="13"/>
      <c r="P339" s="6"/>
      <c r="Q339" s="6"/>
      <c r="R339" s="6"/>
    </row>
    <row r="340" spans="1:18" x14ac:dyDescent="0.25">
      <c r="A340" s="13"/>
      <c r="B340" s="13"/>
      <c r="C340" s="13"/>
      <c r="D340" s="6"/>
      <c r="E340" s="6"/>
      <c r="F340" s="7"/>
      <c r="G340" s="8" t="e">
        <f>VLOOKUP(F340,'controle saldo'!A$2:N$240,3,FALSE)</f>
        <v>#N/A</v>
      </c>
      <c r="H340" s="7"/>
      <c r="I340" s="9"/>
      <c r="J340" s="10"/>
      <c r="K340" s="6"/>
      <c r="L340" s="6"/>
      <c r="M340" s="11"/>
      <c r="N340" s="12"/>
      <c r="O340" s="13"/>
      <c r="P340" s="6"/>
      <c r="Q340" s="6"/>
      <c r="R340" s="6"/>
    </row>
    <row r="341" spans="1:18" x14ac:dyDescent="0.25">
      <c r="A341" s="13"/>
      <c r="B341" s="13"/>
      <c r="C341" s="13"/>
      <c r="D341" s="6"/>
      <c r="E341" s="6"/>
      <c r="F341" s="7"/>
      <c r="G341" s="8" t="e">
        <f>VLOOKUP(F341,'controle saldo'!A$2:N$240,3,FALSE)</f>
        <v>#N/A</v>
      </c>
      <c r="H341" s="7"/>
      <c r="I341" s="9"/>
      <c r="J341" s="10"/>
      <c r="K341" s="6"/>
      <c r="L341" s="6"/>
      <c r="M341" s="11"/>
      <c r="N341" s="12"/>
      <c r="O341" s="13"/>
      <c r="P341" s="6"/>
      <c r="Q341" s="6"/>
      <c r="R341" s="6"/>
    </row>
    <row r="342" spans="1:18" x14ac:dyDescent="0.25">
      <c r="A342" s="13"/>
      <c r="B342" s="13"/>
      <c r="C342" s="13"/>
      <c r="D342" s="6"/>
      <c r="E342" s="6"/>
      <c r="F342" s="7"/>
      <c r="G342" s="8" t="e">
        <f>VLOOKUP(F342,'controle saldo'!A$2:N$240,3,FALSE)</f>
        <v>#N/A</v>
      </c>
      <c r="H342" s="7"/>
      <c r="I342" s="9"/>
      <c r="J342" s="10"/>
      <c r="K342" s="6"/>
      <c r="L342" s="6"/>
      <c r="M342" s="11"/>
      <c r="N342" s="12"/>
      <c r="O342" s="13"/>
      <c r="P342" s="6"/>
      <c r="Q342" s="6"/>
      <c r="R342" s="6"/>
    </row>
    <row r="343" spans="1:18" x14ac:dyDescent="0.25">
      <c r="A343" s="13"/>
      <c r="B343" s="13"/>
      <c r="C343" s="13"/>
      <c r="D343" s="6"/>
      <c r="E343" s="6"/>
      <c r="F343" s="7"/>
      <c r="G343" s="8" t="e">
        <f>VLOOKUP(F343,'controle saldo'!A$2:N$240,3,FALSE)</f>
        <v>#N/A</v>
      </c>
      <c r="H343" s="7"/>
      <c r="I343" s="9"/>
      <c r="J343" s="10"/>
      <c r="K343" s="6"/>
      <c r="L343" s="6"/>
      <c r="M343" s="11"/>
      <c r="N343" s="12"/>
      <c r="O343" s="13"/>
      <c r="P343" s="6"/>
      <c r="Q343" s="6"/>
      <c r="R343" s="6"/>
    </row>
    <row r="344" spans="1:18" x14ac:dyDescent="0.25">
      <c r="A344" s="13"/>
      <c r="B344" s="13"/>
      <c r="C344" s="13"/>
      <c r="D344" s="6"/>
      <c r="E344" s="6"/>
      <c r="F344" s="7"/>
      <c r="G344" s="8" t="e">
        <f>VLOOKUP(F344,'controle saldo'!A$2:N$240,3,FALSE)</f>
        <v>#N/A</v>
      </c>
      <c r="H344" s="7"/>
      <c r="I344" s="9"/>
      <c r="J344" s="10"/>
      <c r="K344" s="6"/>
      <c r="L344" s="6"/>
      <c r="M344" s="11"/>
      <c r="N344" s="12"/>
      <c r="O344" s="13"/>
      <c r="P344" s="6"/>
      <c r="Q344" s="6"/>
      <c r="R344" s="6"/>
    </row>
    <row r="345" spans="1:18" x14ac:dyDescent="0.25">
      <c r="A345" s="13"/>
      <c r="B345" s="13"/>
      <c r="C345" s="13"/>
      <c r="D345" s="6"/>
      <c r="E345" s="6"/>
      <c r="F345" s="7"/>
      <c r="G345" s="8" t="e">
        <f>VLOOKUP(F345,'controle saldo'!A$2:N$240,3,FALSE)</f>
        <v>#N/A</v>
      </c>
      <c r="H345" s="7"/>
      <c r="I345" s="9"/>
      <c r="J345" s="10"/>
      <c r="K345" s="6"/>
      <c r="L345" s="6"/>
      <c r="M345" s="11"/>
      <c r="N345" s="12"/>
      <c r="O345" s="13"/>
      <c r="P345" s="6"/>
      <c r="Q345" s="6"/>
      <c r="R345" s="6"/>
    </row>
    <row r="346" spans="1:18" x14ac:dyDescent="0.25">
      <c r="A346" s="13"/>
      <c r="B346" s="13"/>
      <c r="C346" s="13"/>
      <c r="D346" s="6"/>
      <c r="E346" s="6"/>
      <c r="F346" s="7"/>
      <c r="G346" s="8" t="e">
        <f>VLOOKUP(F346,'controle saldo'!A$2:N$240,3,FALSE)</f>
        <v>#N/A</v>
      </c>
      <c r="H346" s="7"/>
      <c r="I346" s="9"/>
      <c r="J346" s="10"/>
      <c r="K346" s="6"/>
      <c r="L346" s="6"/>
      <c r="M346" s="11"/>
      <c r="N346" s="12"/>
      <c r="O346" s="13"/>
      <c r="P346" s="6"/>
      <c r="Q346" s="6"/>
      <c r="R346" s="6"/>
    </row>
    <row r="347" spans="1:18" x14ac:dyDescent="0.25">
      <c r="A347" s="13"/>
      <c r="B347" s="13"/>
      <c r="C347" s="13"/>
      <c r="D347" s="6"/>
      <c r="E347" s="6"/>
      <c r="F347" s="7"/>
      <c r="G347" s="8" t="e">
        <f>VLOOKUP(F347,'controle saldo'!A$2:N$240,3,FALSE)</f>
        <v>#N/A</v>
      </c>
      <c r="H347" s="7"/>
      <c r="I347" s="9"/>
      <c r="J347" s="10"/>
      <c r="K347" s="6"/>
      <c r="L347" s="6"/>
      <c r="M347" s="11"/>
      <c r="N347" s="12"/>
      <c r="O347" s="13"/>
      <c r="P347" s="6"/>
      <c r="Q347" s="6"/>
      <c r="R347" s="6"/>
    </row>
    <row r="348" spans="1:18" x14ac:dyDescent="0.25">
      <c r="A348" s="13"/>
      <c r="B348" s="13"/>
      <c r="C348" s="13"/>
      <c r="D348" s="6"/>
      <c r="E348" s="6"/>
      <c r="F348" s="7"/>
      <c r="G348" s="8" t="e">
        <f>VLOOKUP(F348,'controle saldo'!A$2:N$240,3,FALSE)</f>
        <v>#N/A</v>
      </c>
      <c r="H348" s="7"/>
      <c r="I348" s="9"/>
      <c r="J348" s="10"/>
      <c r="K348" s="6"/>
      <c r="L348" s="6"/>
      <c r="M348" s="11"/>
      <c r="N348" s="12"/>
      <c r="O348" s="13"/>
      <c r="P348" s="6"/>
      <c r="Q348" s="6"/>
      <c r="R348" s="6"/>
    </row>
    <row r="349" spans="1:18" x14ac:dyDescent="0.25">
      <c r="A349" s="13"/>
      <c r="B349" s="13"/>
      <c r="C349" s="13"/>
      <c r="D349" s="6"/>
      <c r="E349" s="6"/>
      <c r="F349" s="7"/>
      <c r="G349" s="8" t="e">
        <f>VLOOKUP(F349,'controle saldo'!A$2:N$240,3,FALSE)</f>
        <v>#N/A</v>
      </c>
      <c r="H349" s="7"/>
      <c r="I349" s="9"/>
      <c r="J349" s="10"/>
      <c r="K349" s="6"/>
      <c r="L349" s="6"/>
      <c r="M349" s="11"/>
      <c r="N349" s="12"/>
      <c r="O349" s="13"/>
      <c r="P349" s="6"/>
      <c r="Q349" s="6"/>
      <c r="R349" s="6"/>
    </row>
    <row r="350" spans="1:18" x14ac:dyDescent="0.25">
      <c r="A350" s="13"/>
      <c r="B350" s="13"/>
      <c r="C350" s="13"/>
      <c r="D350" s="6"/>
      <c r="E350" s="6"/>
      <c r="F350" s="7"/>
      <c r="G350" s="8" t="e">
        <f>VLOOKUP(F350,'controle saldo'!A$2:N$240,3,FALSE)</f>
        <v>#N/A</v>
      </c>
      <c r="H350" s="7"/>
      <c r="I350" s="9"/>
      <c r="J350" s="10"/>
      <c r="K350" s="6"/>
      <c r="L350" s="6"/>
      <c r="M350" s="11"/>
      <c r="N350" s="12"/>
      <c r="O350" s="13"/>
      <c r="P350" s="6"/>
      <c r="Q350" s="6"/>
      <c r="R350" s="6"/>
    </row>
    <row r="351" spans="1:18" x14ac:dyDescent="0.25">
      <c r="A351" s="13"/>
      <c r="B351" s="13"/>
      <c r="C351" s="13"/>
      <c r="D351" s="6"/>
      <c r="E351" s="6"/>
      <c r="F351" s="7"/>
      <c r="G351" s="8" t="e">
        <f>VLOOKUP(F351,'controle saldo'!A$2:N$240,3,FALSE)</f>
        <v>#N/A</v>
      </c>
      <c r="H351" s="7"/>
      <c r="I351" s="9"/>
      <c r="J351" s="10"/>
      <c r="K351" s="6"/>
      <c r="L351" s="6"/>
      <c r="M351" s="11"/>
      <c r="N351" s="12"/>
      <c r="O351" s="13"/>
      <c r="P351" s="6"/>
      <c r="Q351" s="6"/>
      <c r="R351" s="6"/>
    </row>
    <row r="352" spans="1:18" x14ac:dyDescent="0.25">
      <c r="A352" s="13"/>
      <c r="B352" s="13"/>
      <c r="C352" s="13"/>
      <c r="D352" s="6"/>
      <c r="E352" s="6"/>
      <c r="F352" s="7"/>
      <c r="G352" s="8" t="e">
        <f>VLOOKUP(F352,'controle saldo'!A$2:N$240,3,FALSE)</f>
        <v>#N/A</v>
      </c>
      <c r="H352" s="7"/>
      <c r="I352" s="9"/>
      <c r="J352" s="10"/>
      <c r="K352" s="6"/>
      <c r="L352" s="6"/>
      <c r="M352" s="11"/>
      <c r="N352" s="12"/>
      <c r="O352" s="13"/>
      <c r="P352" s="6"/>
      <c r="Q352" s="6"/>
      <c r="R352" s="6"/>
    </row>
    <row r="353" spans="1:18" x14ac:dyDescent="0.25">
      <c r="A353" s="13"/>
      <c r="B353" s="13"/>
      <c r="C353" s="13"/>
      <c r="D353" s="6"/>
      <c r="E353" s="6"/>
      <c r="F353" s="7"/>
      <c r="G353" s="8" t="e">
        <f>VLOOKUP(F353,'controle saldo'!A$2:N$240,3,FALSE)</f>
        <v>#N/A</v>
      </c>
      <c r="H353" s="7"/>
      <c r="I353" s="9"/>
      <c r="J353" s="10"/>
      <c r="K353" s="6"/>
      <c r="L353" s="6"/>
      <c r="M353" s="11"/>
      <c r="N353" s="12"/>
      <c r="O353" s="13"/>
      <c r="P353" s="6"/>
      <c r="Q353" s="6"/>
      <c r="R353" s="6"/>
    </row>
    <row r="354" spans="1:18" x14ac:dyDescent="0.25">
      <c r="A354" s="13"/>
      <c r="B354" s="13"/>
      <c r="C354" s="13"/>
      <c r="D354" s="6"/>
      <c r="E354" s="6"/>
      <c r="F354" s="7"/>
      <c r="G354" s="8" t="e">
        <f>VLOOKUP(F354,'controle saldo'!A$2:N$240,3,FALSE)</f>
        <v>#N/A</v>
      </c>
      <c r="H354" s="7"/>
      <c r="I354" s="9"/>
      <c r="J354" s="10"/>
      <c r="K354" s="6"/>
      <c r="L354" s="6"/>
      <c r="M354" s="11"/>
      <c r="N354" s="12"/>
      <c r="O354" s="13"/>
      <c r="P354" s="6"/>
      <c r="Q354" s="6"/>
      <c r="R354" s="6"/>
    </row>
    <row r="355" spans="1:18" x14ac:dyDescent="0.25">
      <c r="A355" s="13"/>
      <c r="B355" s="13"/>
      <c r="C355" s="13"/>
      <c r="D355" s="6"/>
      <c r="E355" s="6"/>
      <c r="F355" s="7"/>
      <c r="G355" s="8" t="e">
        <f>VLOOKUP(F355,'controle saldo'!A$2:N$240,3,FALSE)</f>
        <v>#N/A</v>
      </c>
      <c r="H355" s="7"/>
      <c r="I355" s="9"/>
      <c r="J355" s="10"/>
      <c r="K355" s="6"/>
      <c r="L355" s="6"/>
      <c r="M355" s="11"/>
      <c r="N355" s="12"/>
      <c r="O355" s="13"/>
      <c r="P355" s="6"/>
      <c r="Q355" s="6"/>
      <c r="R355" s="6"/>
    </row>
    <row r="356" spans="1:18" x14ac:dyDescent="0.25">
      <c r="A356" s="13"/>
      <c r="B356" s="13"/>
      <c r="C356" s="13"/>
      <c r="D356" s="6"/>
      <c r="E356" s="6"/>
      <c r="F356" s="7"/>
      <c r="G356" s="8" t="e">
        <f>VLOOKUP(F356,'controle saldo'!A$2:N$240,3,FALSE)</f>
        <v>#N/A</v>
      </c>
      <c r="H356" s="7"/>
      <c r="I356" s="9"/>
      <c r="J356" s="10"/>
      <c r="K356" s="6"/>
      <c r="L356" s="6"/>
      <c r="M356" s="11"/>
      <c r="N356" s="12"/>
      <c r="O356" s="13"/>
      <c r="P356" s="6"/>
      <c r="Q356" s="6"/>
      <c r="R356" s="6"/>
    </row>
    <row r="357" spans="1:18" x14ac:dyDescent="0.25">
      <c r="A357" s="13"/>
      <c r="B357" s="13"/>
      <c r="C357" s="13"/>
      <c r="D357" s="6"/>
      <c r="E357" s="6"/>
      <c r="F357" s="7"/>
      <c r="G357" s="8" t="e">
        <f>VLOOKUP(F357,'controle saldo'!A$2:N$240,3,FALSE)</f>
        <v>#N/A</v>
      </c>
      <c r="H357" s="7"/>
      <c r="I357" s="9"/>
      <c r="J357" s="10"/>
      <c r="K357" s="6"/>
      <c r="L357" s="6"/>
      <c r="M357" s="11"/>
      <c r="N357" s="12"/>
      <c r="O357" s="13"/>
      <c r="P357" s="6"/>
      <c r="Q357" s="6"/>
      <c r="R357" s="6"/>
    </row>
    <row r="358" spans="1:18" x14ac:dyDescent="0.25">
      <c r="A358" s="13"/>
      <c r="B358" s="13"/>
      <c r="C358" s="13"/>
      <c r="D358" s="6"/>
      <c r="E358" s="6"/>
      <c r="F358" s="7"/>
      <c r="G358" s="8" t="e">
        <f>VLOOKUP(F358,'controle saldo'!A$2:N$240,3,FALSE)</f>
        <v>#N/A</v>
      </c>
      <c r="H358" s="7"/>
      <c r="I358" s="9"/>
      <c r="J358" s="10"/>
      <c r="K358" s="6"/>
      <c r="L358" s="6"/>
      <c r="M358" s="11"/>
      <c r="N358" s="12"/>
      <c r="O358" s="13"/>
      <c r="P358" s="6"/>
      <c r="Q358" s="6"/>
      <c r="R358" s="6"/>
    </row>
    <row r="359" spans="1:18" x14ac:dyDescent="0.25">
      <c r="A359" s="13"/>
      <c r="B359" s="13"/>
      <c r="C359" s="13"/>
      <c r="D359" s="6"/>
      <c r="E359" s="6"/>
      <c r="F359" s="7"/>
      <c r="G359" s="8" t="e">
        <f>VLOOKUP(F359,'controle saldo'!A$2:N$240,3,FALSE)</f>
        <v>#N/A</v>
      </c>
      <c r="H359" s="7"/>
      <c r="I359" s="9"/>
      <c r="J359" s="10"/>
      <c r="K359" s="6"/>
      <c r="L359" s="6"/>
      <c r="M359" s="11"/>
      <c r="N359" s="12"/>
      <c r="O359" s="13"/>
      <c r="P359" s="6"/>
      <c r="Q359" s="6"/>
      <c r="R359" s="6"/>
    </row>
    <row r="360" spans="1:18" x14ac:dyDescent="0.25">
      <c r="A360" s="13"/>
      <c r="B360" s="13"/>
      <c r="C360" s="13"/>
      <c r="D360" s="6"/>
      <c r="E360" s="6"/>
      <c r="F360" s="7"/>
      <c r="G360" s="8" t="e">
        <f>VLOOKUP(F360,'controle saldo'!A$2:N$240,3,FALSE)</f>
        <v>#N/A</v>
      </c>
      <c r="H360" s="7"/>
      <c r="I360" s="9"/>
      <c r="J360" s="10"/>
      <c r="K360" s="6"/>
      <c r="L360" s="6"/>
      <c r="M360" s="11"/>
      <c r="N360" s="12"/>
      <c r="O360" s="13"/>
      <c r="P360" s="6"/>
      <c r="Q360" s="6"/>
      <c r="R360" s="6"/>
    </row>
    <row r="361" spans="1:18" x14ac:dyDescent="0.25">
      <c r="A361" s="13"/>
      <c r="B361" s="13"/>
      <c r="C361" s="13"/>
      <c r="D361" s="6"/>
      <c r="E361" s="6"/>
      <c r="F361" s="7"/>
      <c r="G361" s="8" t="e">
        <f>VLOOKUP(F361,'controle saldo'!A$2:N$240,3,FALSE)</f>
        <v>#N/A</v>
      </c>
      <c r="H361" s="7"/>
      <c r="I361" s="9"/>
      <c r="J361" s="10"/>
      <c r="K361" s="6"/>
      <c r="L361" s="6"/>
      <c r="M361" s="11"/>
      <c r="N361" s="12"/>
      <c r="O361" s="13"/>
      <c r="P361" s="6"/>
      <c r="Q361" s="6"/>
      <c r="R361" s="6"/>
    </row>
    <row r="362" spans="1:18" x14ac:dyDescent="0.25">
      <c r="A362" s="13"/>
      <c r="B362" s="13"/>
      <c r="C362" s="13"/>
      <c r="D362" s="6"/>
      <c r="E362" s="6"/>
      <c r="F362" s="7"/>
      <c r="G362" s="8" t="e">
        <f>VLOOKUP(F362,'controle saldo'!A$2:N$240,3,FALSE)</f>
        <v>#N/A</v>
      </c>
      <c r="H362" s="7"/>
      <c r="I362" s="9"/>
      <c r="J362" s="10"/>
      <c r="K362" s="6"/>
      <c r="L362" s="6"/>
      <c r="M362" s="11"/>
      <c r="N362" s="12"/>
      <c r="O362" s="13"/>
      <c r="P362" s="6"/>
      <c r="Q362" s="6"/>
      <c r="R362" s="6"/>
    </row>
    <row r="363" spans="1:18" x14ac:dyDescent="0.25">
      <c r="A363" s="13"/>
      <c r="B363" s="13"/>
      <c r="C363" s="13"/>
      <c r="D363" s="6"/>
      <c r="E363" s="6"/>
      <c r="F363" s="7"/>
      <c r="G363" s="8" t="e">
        <f>VLOOKUP(F363,'controle saldo'!A$2:N$240,3,FALSE)</f>
        <v>#N/A</v>
      </c>
      <c r="H363" s="7"/>
      <c r="I363" s="9"/>
      <c r="J363" s="10"/>
      <c r="K363" s="6"/>
      <c r="L363" s="6"/>
      <c r="M363" s="11"/>
      <c r="N363" s="12"/>
      <c r="O363" s="13"/>
      <c r="P363" s="6"/>
      <c r="Q363" s="6"/>
      <c r="R363" s="6"/>
    </row>
    <row r="364" spans="1:18" x14ac:dyDescent="0.25">
      <c r="A364" s="13"/>
      <c r="B364" s="13"/>
      <c r="C364" s="13"/>
      <c r="D364" s="6"/>
      <c r="E364" s="6"/>
      <c r="F364" s="7"/>
      <c r="G364" s="8" t="e">
        <f>VLOOKUP(F364,'controle saldo'!A$2:N$240,3,FALSE)</f>
        <v>#N/A</v>
      </c>
      <c r="H364" s="7"/>
      <c r="I364" s="9"/>
      <c r="J364" s="10"/>
      <c r="K364" s="6"/>
      <c r="L364" s="6"/>
      <c r="M364" s="11"/>
      <c r="N364" s="12"/>
      <c r="O364" s="13"/>
      <c r="P364" s="6"/>
      <c r="Q364" s="6"/>
      <c r="R364" s="6"/>
    </row>
    <row r="365" spans="1:18" x14ac:dyDescent="0.25">
      <c r="A365" s="13"/>
      <c r="B365" s="13"/>
      <c r="C365" s="13"/>
      <c r="D365" s="6"/>
      <c r="E365" s="6"/>
      <c r="F365" s="7"/>
      <c r="G365" s="8" t="e">
        <f>VLOOKUP(F365,'controle saldo'!A$2:N$240,3,FALSE)</f>
        <v>#N/A</v>
      </c>
      <c r="H365" s="7"/>
      <c r="I365" s="9"/>
      <c r="J365" s="10"/>
      <c r="K365" s="6"/>
      <c r="L365" s="6"/>
      <c r="M365" s="11"/>
      <c r="N365" s="12"/>
      <c r="O365" s="13"/>
      <c r="P365" s="6"/>
      <c r="Q365" s="6"/>
      <c r="R365" s="6"/>
    </row>
    <row r="366" spans="1:18" x14ac:dyDescent="0.25">
      <c r="A366" s="13"/>
      <c r="B366" s="13"/>
      <c r="C366" s="13"/>
      <c r="D366" s="6"/>
      <c r="E366" s="6"/>
      <c r="F366" s="7"/>
      <c r="G366" s="8" t="e">
        <f>VLOOKUP(F366,'controle saldo'!A$2:N$240,3,FALSE)</f>
        <v>#N/A</v>
      </c>
      <c r="H366" s="7"/>
      <c r="I366" s="9"/>
      <c r="J366" s="10"/>
      <c r="K366" s="6"/>
      <c r="L366" s="6"/>
      <c r="M366" s="11"/>
      <c r="N366" s="12"/>
      <c r="O366" s="13"/>
      <c r="P366" s="6"/>
      <c r="Q366" s="6"/>
      <c r="R366" s="6"/>
    </row>
    <row r="367" spans="1:18" x14ac:dyDescent="0.25">
      <c r="A367" s="13"/>
      <c r="B367" s="13"/>
      <c r="C367" s="13"/>
      <c r="D367" s="6"/>
      <c r="E367" s="6"/>
      <c r="F367" s="7"/>
      <c r="G367" s="8" t="e">
        <f>VLOOKUP(F367,'controle saldo'!A$2:N$240,3,FALSE)</f>
        <v>#N/A</v>
      </c>
      <c r="H367" s="7"/>
      <c r="I367" s="9"/>
      <c r="J367" s="10"/>
      <c r="K367" s="6"/>
      <c r="L367" s="6"/>
      <c r="M367" s="11"/>
      <c r="N367" s="12"/>
      <c r="O367" s="13"/>
      <c r="P367" s="6"/>
      <c r="Q367" s="6"/>
      <c r="R367" s="6"/>
    </row>
    <row r="368" spans="1:18" x14ac:dyDescent="0.25">
      <c r="A368" s="13"/>
      <c r="B368" s="13"/>
      <c r="C368" s="13"/>
      <c r="D368" s="6"/>
      <c r="E368" s="6"/>
      <c r="F368" s="7"/>
      <c r="G368" s="8" t="e">
        <f>VLOOKUP(F368,'controle saldo'!A$2:N$240,3,FALSE)</f>
        <v>#N/A</v>
      </c>
      <c r="H368" s="7"/>
      <c r="I368" s="9"/>
      <c r="J368" s="10"/>
      <c r="K368" s="6"/>
      <c r="L368" s="6"/>
      <c r="M368" s="11"/>
      <c r="N368" s="12"/>
      <c r="O368" s="13"/>
      <c r="P368" s="6"/>
      <c r="Q368" s="6"/>
      <c r="R368" s="6"/>
    </row>
    <row r="369" spans="1:18" x14ac:dyDescent="0.25">
      <c r="A369" s="13"/>
      <c r="B369" s="13"/>
      <c r="C369" s="13"/>
      <c r="D369" s="6"/>
      <c r="E369" s="6"/>
      <c r="F369" s="7"/>
      <c r="G369" s="8" t="e">
        <f>VLOOKUP(F369,'controle saldo'!A$2:N$240,3,FALSE)</f>
        <v>#N/A</v>
      </c>
      <c r="H369" s="7"/>
      <c r="I369" s="9"/>
      <c r="J369" s="10"/>
      <c r="K369" s="6"/>
      <c r="L369" s="6"/>
      <c r="M369" s="11"/>
      <c r="N369" s="12"/>
      <c r="O369" s="13"/>
      <c r="P369" s="6"/>
      <c r="Q369" s="6"/>
      <c r="R369" s="6"/>
    </row>
    <row r="370" spans="1:18" x14ac:dyDescent="0.25">
      <c r="A370" s="13"/>
      <c r="B370" s="13"/>
      <c r="C370" s="13"/>
      <c r="D370" s="6"/>
      <c r="E370" s="6"/>
      <c r="F370" s="7"/>
      <c r="G370" s="8" t="e">
        <f>VLOOKUP(F370,'controle saldo'!A$2:N$240,3,FALSE)</f>
        <v>#N/A</v>
      </c>
      <c r="H370" s="7"/>
      <c r="I370" s="9"/>
      <c r="J370" s="10"/>
      <c r="K370" s="6"/>
      <c r="L370" s="6"/>
      <c r="M370" s="11"/>
      <c r="N370" s="12"/>
      <c r="O370" s="13"/>
      <c r="P370" s="6"/>
      <c r="Q370" s="6"/>
      <c r="R370" s="6"/>
    </row>
    <row r="371" spans="1:18" x14ac:dyDescent="0.25">
      <c r="A371" s="13"/>
      <c r="B371" s="13"/>
      <c r="C371" s="13"/>
      <c r="D371" s="6"/>
      <c r="E371" s="6"/>
      <c r="F371" s="7"/>
      <c r="G371" s="8" t="e">
        <f>VLOOKUP(F371,'controle saldo'!A$2:N$240,3,FALSE)</f>
        <v>#N/A</v>
      </c>
      <c r="H371" s="7"/>
      <c r="I371" s="9"/>
      <c r="J371" s="10"/>
      <c r="K371" s="6"/>
      <c r="L371" s="6"/>
      <c r="M371" s="11"/>
      <c r="N371" s="12"/>
      <c r="O371" s="13"/>
      <c r="P371" s="6"/>
      <c r="Q371" s="6"/>
      <c r="R371" s="6"/>
    </row>
    <row r="372" spans="1:18" x14ac:dyDescent="0.25">
      <c r="A372" s="13"/>
      <c r="B372" s="13"/>
      <c r="C372" s="13"/>
      <c r="D372" s="6"/>
      <c r="E372" s="6"/>
      <c r="F372" s="7"/>
      <c r="G372" s="8" t="e">
        <f>VLOOKUP(F372,'controle saldo'!A$2:N$240,3,FALSE)</f>
        <v>#N/A</v>
      </c>
      <c r="H372" s="7"/>
      <c r="I372" s="9"/>
      <c r="J372" s="10"/>
      <c r="K372" s="6"/>
      <c r="L372" s="6"/>
      <c r="M372" s="11"/>
      <c r="N372" s="12"/>
      <c r="O372" s="13"/>
      <c r="P372" s="6"/>
      <c r="Q372" s="6"/>
      <c r="R372" s="6"/>
    </row>
    <row r="373" spans="1:18" x14ac:dyDescent="0.25">
      <c r="A373" s="13"/>
      <c r="B373" s="13"/>
      <c r="C373" s="13"/>
      <c r="D373" s="6"/>
      <c r="E373" s="6"/>
      <c r="F373" s="7"/>
      <c r="G373" s="8" t="e">
        <f>VLOOKUP(F373,'controle saldo'!A$2:N$240,3,FALSE)</f>
        <v>#N/A</v>
      </c>
      <c r="H373" s="7"/>
      <c r="I373" s="9"/>
      <c r="J373" s="10"/>
      <c r="K373" s="6"/>
      <c r="L373" s="6"/>
      <c r="M373" s="11"/>
      <c r="N373" s="12"/>
      <c r="O373" s="13"/>
      <c r="P373" s="6"/>
      <c r="Q373" s="6"/>
      <c r="R373" s="6"/>
    </row>
    <row r="374" spans="1:18" x14ac:dyDescent="0.25">
      <c r="A374" s="13"/>
      <c r="B374" s="13"/>
      <c r="C374" s="13"/>
      <c r="D374" s="6"/>
      <c r="E374" s="6"/>
      <c r="F374" s="7"/>
      <c r="G374" s="8" t="e">
        <f>VLOOKUP(F374,'controle saldo'!A$2:N$240,3,FALSE)</f>
        <v>#N/A</v>
      </c>
      <c r="H374" s="7"/>
      <c r="I374" s="9"/>
      <c r="J374" s="10"/>
      <c r="K374" s="6"/>
      <c r="L374" s="6"/>
      <c r="M374" s="11"/>
      <c r="N374" s="12"/>
      <c r="O374" s="13"/>
      <c r="P374" s="6"/>
      <c r="Q374" s="6"/>
      <c r="R374" s="6"/>
    </row>
    <row r="375" spans="1:18" x14ac:dyDescent="0.25">
      <c r="A375" s="13"/>
      <c r="B375" s="13"/>
      <c r="C375" s="13"/>
      <c r="D375" s="6"/>
      <c r="E375" s="6"/>
      <c r="F375" s="7"/>
      <c r="G375" s="8" t="e">
        <f>VLOOKUP(F375,'controle saldo'!A$2:N$240,3,FALSE)</f>
        <v>#N/A</v>
      </c>
      <c r="H375" s="7"/>
      <c r="I375" s="9"/>
      <c r="J375" s="10"/>
      <c r="K375" s="6"/>
      <c r="L375" s="6"/>
      <c r="M375" s="11"/>
      <c r="N375" s="12"/>
      <c r="O375" s="13"/>
      <c r="P375" s="6"/>
      <c r="Q375" s="6"/>
      <c r="R375" s="6"/>
    </row>
    <row r="376" spans="1:18" x14ac:dyDescent="0.25">
      <c r="A376" s="13"/>
      <c r="B376" s="13"/>
      <c r="C376" s="13"/>
      <c r="D376" s="6"/>
      <c r="E376" s="6"/>
      <c r="F376" s="7"/>
      <c r="G376" s="8" t="e">
        <f>VLOOKUP(F376,'controle saldo'!A$2:N$240,3,FALSE)</f>
        <v>#N/A</v>
      </c>
      <c r="H376" s="7"/>
      <c r="I376" s="9"/>
      <c r="J376" s="10"/>
      <c r="K376" s="6"/>
      <c r="L376" s="6"/>
      <c r="M376" s="11"/>
      <c r="N376" s="12"/>
      <c r="O376" s="13"/>
      <c r="P376" s="6"/>
      <c r="Q376" s="6"/>
      <c r="R376" s="6"/>
    </row>
    <row r="377" spans="1:18" x14ac:dyDescent="0.25">
      <c r="A377" s="13"/>
      <c r="B377" s="13"/>
      <c r="C377" s="13"/>
      <c r="D377" s="6"/>
      <c r="E377" s="6"/>
      <c r="F377" s="7"/>
      <c r="G377" s="8" t="e">
        <f>VLOOKUP(F377,'controle saldo'!A$2:N$240,3,FALSE)</f>
        <v>#N/A</v>
      </c>
      <c r="H377" s="7"/>
      <c r="I377" s="9"/>
      <c r="J377" s="10"/>
      <c r="K377" s="6"/>
      <c r="L377" s="6"/>
      <c r="M377" s="11"/>
      <c r="N377" s="12"/>
      <c r="O377" s="13"/>
      <c r="P377" s="6"/>
      <c r="Q377" s="6"/>
      <c r="R377" s="6"/>
    </row>
    <row r="378" spans="1:18" x14ac:dyDescent="0.25">
      <c r="A378" s="13"/>
      <c r="B378" s="13"/>
      <c r="C378" s="13"/>
      <c r="D378" s="6"/>
      <c r="E378" s="6"/>
      <c r="F378" s="7"/>
      <c r="G378" s="8" t="e">
        <f>VLOOKUP(F378,'controle saldo'!A$2:N$240,3,FALSE)</f>
        <v>#N/A</v>
      </c>
      <c r="H378" s="7"/>
      <c r="I378" s="9"/>
      <c r="J378" s="10"/>
      <c r="K378" s="6"/>
      <c r="L378" s="6"/>
      <c r="M378" s="11"/>
      <c r="N378" s="12"/>
      <c r="O378" s="13"/>
      <c r="P378" s="6"/>
      <c r="Q378" s="6"/>
      <c r="R378" s="6"/>
    </row>
    <row r="379" spans="1:18" x14ac:dyDescent="0.25">
      <c r="A379" s="13"/>
      <c r="B379" s="13"/>
      <c r="C379" s="13"/>
      <c r="D379" s="6"/>
      <c r="E379" s="6"/>
      <c r="F379" s="7"/>
      <c r="G379" s="8" t="e">
        <f>VLOOKUP(F379,'controle saldo'!A$2:N$240,3,FALSE)</f>
        <v>#N/A</v>
      </c>
      <c r="H379" s="7"/>
      <c r="I379" s="9"/>
      <c r="J379" s="10"/>
      <c r="K379" s="6"/>
      <c r="L379" s="6"/>
      <c r="M379" s="11"/>
      <c r="N379" s="12"/>
      <c r="O379" s="13"/>
      <c r="P379" s="6"/>
      <c r="Q379" s="6"/>
      <c r="R379" s="6"/>
    </row>
    <row r="380" spans="1:18" x14ac:dyDescent="0.25">
      <c r="A380" s="13"/>
      <c r="B380" s="13"/>
      <c r="C380" s="13"/>
      <c r="D380" s="6"/>
      <c r="E380" s="6"/>
      <c r="F380" s="7"/>
      <c r="G380" s="8" t="e">
        <f>VLOOKUP(F380,'controle saldo'!A$2:N$240,3,FALSE)</f>
        <v>#N/A</v>
      </c>
      <c r="H380" s="7"/>
      <c r="I380" s="9"/>
      <c r="J380" s="10"/>
      <c r="K380" s="6"/>
      <c r="L380" s="6"/>
      <c r="M380" s="11"/>
      <c r="N380" s="12"/>
      <c r="O380" s="13"/>
      <c r="P380" s="6"/>
      <c r="Q380" s="6"/>
      <c r="R380" s="6"/>
    </row>
    <row r="381" spans="1:18" x14ac:dyDescent="0.25">
      <c r="A381" s="13"/>
      <c r="B381" s="13"/>
      <c r="C381" s="13"/>
      <c r="D381" s="6"/>
      <c r="E381" s="6"/>
      <c r="F381" s="7"/>
      <c r="G381" s="8" t="e">
        <f>VLOOKUP(F381,'controle saldo'!A$2:N$240,3,FALSE)</f>
        <v>#N/A</v>
      </c>
      <c r="H381" s="7"/>
      <c r="I381" s="9"/>
      <c r="J381" s="10"/>
      <c r="K381" s="6"/>
      <c r="L381" s="6"/>
      <c r="M381" s="11"/>
      <c r="N381" s="12"/>
      <c r="O381" s="13"/>
      <c r="P381" s="6"/>
      <c r="Q381" s="6"/>
      <c r="R381" s="6"/>
    </row>
    <row r="382" spans="1:18" x14ac:dyDescent="0.25">
      <c r="A382" s="13"/>
      <c r="B382" s="13"/>
      <c r="C382" s="13"/>
      <c r="D382" s="6"/>
      <c r="E382" s="6"/>
      <c r="F382" s="7"/>
      <c r="G382" s="8" t="e">
        <f>VLOOKUP(F382,'controle saldo'!A$2:N$240,3,FALSE)</f>
        <v>#N/A</v>
      </c>
      <c r="H382" s="7"/>
      <c r="I382" s="9"/>
      <c r="J382" s="10"/>
      <c r="K382" s="6"/>
      <c r="L382" s="6"/>
      <c r="M382" s="11"/>
      <c r="N382" s="12"/>
      <c r="O382" s="13"/>
      <c r="P382" s="6"/>
      <c r="Q382" s="6"/>
      <c r="R382" s="6"/>
    </row>
    <row r="383" spans="1:18" x14ac:dyDescent="0.25">
      <c r="A383" s="13"/>
      <c r="B383" s="13"/>
      <c r="C383" s="13"/>
      <c r="D383" s="6"/>
      <c r="E383" s="6"/>
      <c r="F383" s="7"/>
      <c r="G383" s="8" t="e">
        <f>VLOOKUP(F383,'controle saldo'!A$2:N$240,3,FALSE)</f>
        <v>#N/A</v>
      </c>
      <c r="H383" s="7"/>
      <c r="I383" s="9"/>
      <c r="J383" s="10"/>
      <c r="K383" s="6"/>
      <c r="L383" s="6"/>
      <c r="M383" s="11"/>
      <c r="N383" s="12"/>
      <c r="O383" s="13"/>
      <c r="P383" s="6"/>
      <c r="Q383" s="6"/>
      <c r="R383" s="6"/>
    </row>
    <row r="384" spans="1:18" x14ac:dyDescent="0.25">
      <c r="A384" s="13"/>
      <c r="B384" s="13"/>
      <c r="C384" s="13"/>
      <c r="D384" s="6"/>
      <c r="E384" s="6"/>
      <c r="F384" s="7"/>
      <c r="G384" s="8" t="e">
        <f>VLOOKUP(F384,'controle saldo'!A$2:N$240,3,FALSE)</f>
        <v>#N/A</v>
      </c>
      <c r="H384" s="7"/>
      <c r="I384" s="9"/>
      <c r="J384" s="10"/>
      <c r="K384" s="6"/>
      <c r="L384" s="6"/>
      <c r="M384" s="11"/>
      <c r="N384" s="12"/>
      <c r="O384" s="13"/>
      <c r="P384" s="6"/>
      <c r="Q384" s="6"/>
      <c r="R384" s="6"/>
    </row>
    <row r="385" spans="1:18" x14ac:dyDescent="0.25">
      <c r="A385" s="13"/>
      <c r="B385" s="13"/>
      <c r="C385" s="13"/>
      <c r="D385" s="6"/>
      <c r="E385" s="6"/>
      <c r="F385" s="7"/>
      <c r="G385" s="8" t="e">
        <f>VLOOKUP(F385,'controle saldo'!A$2:N$240,3,FALSE)</f>
        <v>#N/A</v>
      </c>
      <c r="H385" s="7"/>
      <c r="I385" s="9"/>
      <c r="J385" s="10"/>
      <c r="K385" s="6"/>
      <c r="L385" s="6"/>
      <c r="M385" s="11"/>
      <c r="N385" s="12"/>
      <c r="O385" s="13"/>
      <c r="P385" s="6"/>
      <c r="Q385" s="6"/>
      <c r="R385" s="6"/>
    </row>
    <row r="386" spans="1:18" x14ac:dyDescent="0.25">
      <c r="A386" s="13"/>
      <c r="B386" s="13"/>
      <c r="C386" s="13"/>
      <c r="D386" s="6"/>
      <c r="E386" s="6"/>
      <c r="F386" s="7"/>
      <c r="G386" s="8" t="e">
        <f>VLOOKUP(F386,'controle saldo'!A$2:N$240,3,FALSE)</f>
        <v>#N/A</v>
      </c>
      <c r="H386" s="7"/>
      <c r="I386" s="9"/>
      <c r="J386" s="10"/>
      <c r="K386" s="6"/>
      <c r="L386" s="6"/>
      <c r="M386" s="11"/>
      <c r="N386" s="12"/>
      <c r="O386" s="13"/>
      <c r="P386" s="6"/>
      <c r="Q386" s="6"/>
      <c r="R386" s="6"/>
    </row>
    <row r="387" spans="1:18" x14ac:dyDescent="0.25">
      <c r="A387" s="13"/>
      <c r="B387" s="13"/>
      <c r="C387" s="13"/>
      <c r="D387" s="6"/>
      <c r="E387" s="6"/>
      <c r="F387" s="7"/>
      <c r="G387" s="8" t="e">
        <f>VLOOKUP(F387,'controle saldo'!A$2:N$240,3,FALSE)</f>
        <v>#N/A</v>
      </c>
      <c r="H387" s="7"/>
      <c r="I387" s="9"/>
      <c r="J387" s="10"/>
      <c r="K387" s="6"/>
      <c r="L387" s="6"/>
      <c r="M387" s="11"/>
      <c r="N387" s="12"/>
      <c r="O387" s="13"/>
      <c r="P387" s="6"/>
      <c r="Q387" s="6"/>
      <c r="R387" s="6"/>
    </row>
    <row r="388" spans="1:18" x14ac:dyDescent="0.25">
      <c r="A388" s="13"/>
      <c r="B388" s="13"/>
      <c r="C388" s="13"/>
      <c r="D388" s="6"/>
      <c r="E388" s="6"/>
      <c r="F388" s="7"/>
      <c r="G388" s="8" t="e">
        <f>VLOOKUP(F388,'controle saldo'!A$2:N$240,3,FALSE)</f>
        <v>#N/A</v>
      </c>
      <c r="H388" s="7"/>
      <c r="I388" s="9"/>
      <c r="J388" s="10"/>
      <c r="K388" s="6"/>
      <c r="L388" s="6"/>
      <c r="M388" s="11"/>
      <c r="N388" s="12"/>
      <c r="O388" s="13"/>
      <c r="P388" s="6"/>
      <c r="Q388" s="6"/>
      <c r="R388" s="6"/>
    </row>
    <row r="389" spans="1:18" x14ac:dyDescent="0.25">
      <c r="A389" s="13"/>
      <c r="B389" s="13"/>
      <c r="C389" s="13"/>
      <c r="D389" s="6"/>
      <c r="E389" s="6"/>
      <c r="F389" s="7"/>
      <c r="G389" s="8" t="e">
        <f>VLOOKUP(F389,'controle saldo'!A$2:N$240,3,FALSE)</f>
        <v>#N/A</v>
      </c>
      <c r="H389" s="7"/>
      <c r="I389" s="9"/>
      <c r="J389" s="10"/>
      <c r="K389" s="6"/>
      <c r="L389" s="6"/>
      <c r="M389" s="11"/>
      <c r="N389" s="12"/>
      <c r="O389" s="13"/>
      <c r="P389" s="6"/>
      <c r="Q389" s="6"/>
      <c r="R389" s="6"/>
    </row>
    <row r="390" spans="1:18" x14ac:dyDescent="0.25">
      <c r="A390" s="13"/>
      <c r="B390" s="13"/>
      <c r="C390" s="13"/>
      <c r="D390" s="6"/>
      <c r="E390" s="6"/>
      <c r="F390" s="7"/>
      <c r="G390" s="8" t="e">
        <f>VLOOKUP(F390,'controle saldo'!A$2:N$240,3,FALSE)</f>
        <v>#N/A</v>
      </c>
      <c r="H390" s="7"/>
      <c r="I390" s="9"/>
      <c r="J390" s="10"/>
      <c r="K390" s="6"/>
      <c r="L390" s="6"/>
      <c r="M390" s="11"/>
      <c r="N390" s="12"/>
      <c r="O390" s="13"/>
      <c r="P390" s="6"/>
      <c r="Q390" s="6"/>
      <c r="R390" s="6"/>
    </row>
    <row r="391" spans="1:18" x14ac:dyDescent="0.25">
      <c r="A391" s="13"/>
      <c r="B391" s="13"/>
      <c r="C391" s="13"/>
      <c r="D391" s="6"/>
      <c r="E391" s="6"/>
      <c r="F391" s="7"/>
      <c r="G391" s="8" t="e">
        <f>VLOOKUP(F391,'controle saldo'!A$2:N$240,3,FALSE)</f>
        <v>#N/A</v>
      </c>
      <c r="H391" s="7"/>
      <c r="I391" s="9"/>
      <c r="J391" s="10"/>
      <c r="K391" s="6"/>
      <c r="L391" s="6"/>
      <c r="M391" s="11"/>
      <c r="N391" s="12"/>
      <c r="O391" s="13"/>
      <c r="P391" s="6"/>
      <c r="Q391" s="6"/>
      <c r="R391" s="6"/>
    </row>
    <row r="392" spans="1:18" x14ac:dyDescent="0.25">
      <c r="A392" s="13"/>
      <c r="B392" s="13"/>
      <c r="C392" s="13"/>
      <c r="D392" s="6"/>
      <c r="E392" s="6"/>
      <c r="F392" s="7"/>
      <c r="G392" s="8" t="e">
        <f>VLOOKUP(F392,'controle saldo'!A$2:N$240,3,FALSE)</f>
        <v>#N/A</v>
      </c>
      <c r="H392" s="7"/>
      <c r="I392" s="9"/>
      <c r="J392" s="10"/>
      <c r="K392" s="6"/>
      <c r="L392" s="6"/>
      <c r="M392" s="11"/>
      <c r="N392" s="12"/>
      <c r="O392" s="13"/>
      <c r="P392" s="6"/>
      <c r="Q392" s="6"/>
      <c r="R392" s="6"/>
    </row>
    <row r="393" spans="1:18" x14ac:dyDescent="0.25">
      <c r="A393" s="13"/>
      <c r="B393" s="13"/>
      <c r="C393" s="13"/>
      <c r="D393" s="6"/>
      <c r="E393" s="6"/>
      <c r="F393" s="7"/>
      <c r="G393" s="8" t="e">
        <f>VLOOKUP(F393,'controle saldo'!A$2:N$240,3,FALSE)</f>
        <v>#N/A</v>
      </c>
      <c r="H393" s="7"/>
      <c r="I393" s="9"/>
      <c r="J393" s="10"/>
      <c r="K393" s="6"/>
      <c r="L393" s="6"/>
      <c r="M393" s="11"/>
      <c r="N393" s="12"/>
      <c r="O393" s="13"/>
      <c r="P393" s="6"/>
      <c r="Q393" s="6"/>
      <c r="R393" s="6"/>
    </row>
    <row r="394" spans="1:18" x14ac:dyDescent="0.25">
      <c r="A394" s="13"/>
      <c r="B394" s="13"/>
      <c r="C394" s="13"/>
      <c r="D394" s="6"/>
      <c r="E394" s="6"/>
      <c r="F394" s="7"/>
      <c r="G394" s="8" t="e">
        <f>VLOOKUP(F394,'controle saldo'!A$2:N$240,3,FALSE)</f>
        <v>#N/A</v>
      </c>
      <c r="H394" s="7"/>
      <c r="I394" s="9"/>
      <c r="J394" s="10"/>
      <c r="K394" s="6"/>
      <c r="L394" s="6"/>
      <c r="M394" s="11"/>
      <c r="N394" s="12"/>
      <c r="O394" s="13"/>
      <c r="P394" s="6"/>
      <c r="Q394" s="6"/>
      <c r="R394" s="6"/>
    </row>
    <row r="395" spans="1:18" x14ac:dyDescent="0.25">
      <c r="A395" s="13"/>
      <c r="B395" s="13"/>
      <c r="C395" s="13"/>
      <c r="D395" s="6"/>
      <c r="E395" s="6"/>
      <c r="F395" s="7"/>
      <c r="G395" s="8" t="e">
        <f>VLOOKUP(F395,'controle saldo'!A$2:N$240,3,FALSE)</f>
        <v>#N/A</v>
      </c>
      <c r="H395" s="7"/>
      <c r="I395" s="9"/>
      <c r="J395" s="10"/>
      <c r="K395" s="6"/>
      <c r="L395" s="6"/>
      <c r="M395" s="11"/>
      <c r="N395" s="12"/>
      <c r="O395" s="13"/>
      <c r="P395" s="6"/>
      <c r="Q395" s="6"/>
      <c r="R395" s="6"/>
    </row>
    <row r="396" spans="1:18" x14ac:dyDescent="0.25">
      <c r="A396" s="13"/>
      <c r="B396" s="13"/>
      <c r="C396" s="13"/>
      <c r="D396" s="6"/>
      <c r="E396" s="6"/>
      <c r="F396" s="7"/>
      <c r="G396" s="8" t="e">
        <f>VLOOKUP(F396,'controle saldo'!A$2:N$240,3,FALSE)</f>
        <v>#N/A</v>
      </c>
      <c r="H396" s="7"/>
      <c r="I396" s="9"/>
      <c r="J396" s="10"/>
      <c r="K396" s="6"/>
      <c r="L396" s="6"/>
      <c r="M396" s="11"/>
      <c r="N396" s="12"/>
      <c r="O396" s="13"/>
      <c r="P396" s="6"/>
      <c r="Q396" s="6"/>
      <c r="R396" s="6"/>
    </row>
    <row r="397" spans="1:18" x14ac:dyDescent="0.25">
      <c r="A397" s="13"/>
      <c r="B397" s="13"/>
      <c r="C397" s="13"/>
      <c r="D397" s="6"/>
      <c r="E397" s="6"/>
      <c r="F397" s="7"/>
      <c r="G397" s="8" t="e">
        <f>VLOOKUP(F397,'controle saldo'!A$2:N$240,3,FALSE)</f>
        <v>#N/A</v>
      </c>
      <c r="H397" s="7"/>
      <c r="I397" s="9"/>
      <c r="J397" s="10"/>
      <c r="K397" s="6"/>
      <c r="L397" s="6"/>
      <c r="M397" s="11"/>
      <c r="N397" s="12"/>
      <c r="O397" s="13"/>
      <c r="P397" s="6"/>
      <c r="Q397" s="6"/>
      <c r="R397" s="6"/>
    </row>
    <row r="398" spans="1:18" x14ac:dyDescent="0.25">
      <c r="A398" s="13"/>
      <c r="B398" s="13"/>
      <c r="C398" s="13"/>
      <c r="D398" s="6"/>
      <c r="E398" s="6"/>
      <c r="F398" s="7"/>
      <c r="G398" s="8" t="e">
        <f>VLOOKUP(F398,'controle saldo'!A$2:N$240,3,FALSE)</f>
        <v>#N/A</v>
      </c>
      <c r="H398" s="7"/>
      <c r="I398" s="9"/>
      <c r="J398" s="10"/>
      <c r="K398" s="6"/>
      <c r="L398" s="6"/>
      <c r="M398" s="11"/>
      <c r="N398" s="12"/>
      <c r="O398" s="13"/>
      <c r="P398" s="6"/>
      <c r="Q398" s="6"/>
      <c r="R398" s="6"/>
    </row>
    <row r="399" spans="1:18" x14ac:dyDescent="0.25">
      <c r="A399" s="13"/>
      <c r="B399" s="13"/>
      <c r="C399" s="13"/>
      <c r="D399" s="6"/>
      <c r="E399" s="6"/>
      <c r="F399" s="7"/>
      <c r="G399" s="8" t="e">
        <f>VLOOKUP(F399,'controle saldo'!A$2:N$240,3,FALSE)</f>
        <v>#N/A</v>
      </c>
      <c r="H399" s="7"/>
      <c r="I399" s="9"/>
      <c r="J399" s="10"/>
      <c r="K399" s="6"/>
      <c r="L399" s="6"/>
      <c r="M399" s="11"/>
      <c r="N399" s="12"/>
      <c r="O399" s="13"/>
      <c r="P399" s="6"/>
      <c r="Q399" s="6"/>
      <c r="R399" s="6"/>
    </row>
    <row r="400" spans="1:18" x14ac:dyDescent="0.25">
      <c r="A400" s="13"/>
      <c r="B400" s="13"/>
      <c r="C400" s="13"/>
      <c r="D400" s="6"/>
      <c r="E400" s="6"/>
      <c r="F400" s="7"/>
      <c r="G400" s="8" t="e">
        <f>VLOOKUP(F400,'controle saldo'!A$2:N$240,3,FALSE)</f>
        <v>#N/A</v>
      </c>
      <c r="H400" s="7"/>
      <c r="I400" s="9"/>
      <c r="J400" s="10"/>
      <c r="K400" s="6"/>
      <c r="L400" s="6"/>
      <c r="M400" s="11"/>
      <c r="N400" s="12"/>
      <c r="O400" s="13"/>
      <c r="P400" s="6"/>
      <c r="Q400" s="6"/>
      <c r="R400" s="6"/>
    </row>
    <row r="401" spans="1:18" x14ac:dyDescent="0.25">
      <c r="A401" s="13"/>
      <c r="B401" s="13"/>
      <c r="C401" s="13"/>
      <c r="D401" s="6"/>
      <c r="E401" s="6"/>
      <c r="F401" s="7"/>
      <c r="G401" s="8" t="e">
        <f>VLOOKUP(F401,'controle saldo'!A$2:N$240,3,FALSE)</f>
        <v>#N/A</v>
      </c>
      <c r="H401" s="7"/>
      <c r="I401" s="9"/>
      <c r="J401" s="10"/>
      <c r="K401" s="6"/>
      <c r="L401" s="6"/>
      <c r="M401" s="11"/>
      <c r="N401" s="12"/>
      <c r="O401" s="13"/>
      <c r="P401" s="6"/>
      <c r="Q401" s="6"/>
      <c r="R401" s="6"/>
    </row>
    <row r="402" spans="1:18" x14ac:dyDescent="0.25">
      <c r="A402" s="13"/>
      <c r="B402" s="13"/>
      <c r="C402" s="13"/>
      <c r="D402" s="6"/>
      <c r="E402" s="6"/>
      <c r="F402" s="7"/>
      <c r="G402" s="8" t="e">
        <f>VLOOKUP(F402,'controle saldo'!A$2:N$240,3,FALSE)</f>
        <v>#N/A</v>
      </c>
      <c r="H402" s="7"/>
      <c r="I402" s="9"/>
      <c r="J402" s="10"/>
      <c r="K402" s="6"/>
      <c r="L402" s="6"/>
      <c r="M402" s="11"/>
      <c r="N402" s="12"/>
      <c r="O402" s="13"/>
      <c r="P402" s="6"/>
      <c r="Q402" s="6"/>
      <c r="R402" s="6"/>
    </row>
    <row r="403" spans="1:18" x14ac:dyDescent="0.25">
      <c r="A403" s="13"/>
      <c r="B403" s="13"/>
      <c r="C403" s="13"/>
      <c r="D403" s="6"/>
      <c r="E403" s="6"/>
      <c r="F403" s="7"/>
      <c r="G403" s="8" t="e">
        <f>VLOOKUP(F403,'controle saldo'!A$2:N$240,3,FALSE)</f>
        <v>#N/A</v>
      </c>
      <c r="H403" s="7"/>
      <c r="I403" s="9"/>
      <c r="J403" s="10"/>
      <c r="K403" s="6"/>
      <c r="L403" s="6"/>
      <c r="M403" s="11"/>
      <c r="N403" s="12"/>
      <c r="O403" s="13"/>
      <c r="P403" s="6"/>
      <c r="Q403" s="6"/>
      <c r="R403" s="6"/>
    </row>
    <row r="404" spans="1:18" x14ac:dyDescent="0.25">
      <c r="A404" s="13"/>
      <c r="B404" s="13"/>
      <c r="C404" s="13"/>
      <c r="D404" s="6"/>
      <c r="E404" s="6"/>
      <c r="F404" s="7"/>
      <c r="G404" s="8" t="e">
        <f>VLOOKUP(F404,'controle saldo'!A$2:N$240,3,FALSE)</f>
        <v>#N/A</v>
      </c>
      <c r="H404" s="7"/>
      <c r="I404" s="9"/>
      <c r="J404" s="10"/>
      <c r="K404" s="6"/>
      <c r="L404" s="6"/>
      <c r="M404" s="11"/>
      <c r="N404" s="12"/>
      <c r="O404" s="13"/>
      <c r="P404" s="6"/>
      <c r="Q404" s="6"/>
      <c r="R404" s="6"/>
    </row>
    <row r="405" spans="1:18" x14ac:dyDescent="0.25">
      <c r="A405" s="13"/>
      <c r="B405" s="13"/>
      <c r="C405" s="13"/>
      <c r="D405" s="6"/>
      <c r="E405" s="6"/>
      <c r="F405" s="7"/>
      <c r="G405" s="8" t="e">
        <f>VLOOKUP(F405,'controle saldo'!A$2:N$240,3,FALSE)</f>
        <v>#N/A</v>
      </c>
      <c r="H405" s="7"/>
      <c r="I405" s="9"/>
      <c r="J405" s="10"/>
      <c r="K405" s="6"/>
      <c r="L405" s="6"/>
      <c r="M405" s="11"/>
      <c r="N405" s="12"/>
      <c r="O405" s="13"/>
      <c r="P405" s="6"/>
      <c r="Q405" s="6"/>
      <c r="R405" s="6"/>
    </row>
    <row r="406" spans="1:18" x14ac:dyDescent="0.25">
      <c r="A406" s="13"/>
      <c r="B406" s="13"/>
      <c r="C406" s="13"/>
      <c r="D406" s="6"/>
      <c r="E406" s="6"/>
      <c r="F406" s="7"/>
      <c r="G406" s="8" t="e">
        <f>VLOOKUP(F406,'controle saldo'!A$2:N$240,3,FALSE)</f>
        <v>#N/A</v>
      </c>
      <c r="H406" s="7"/>
      <c r="I406" s="9"/>
      <c r="J406" s="10"/>
      <c r="K406" s="6"/>
      <c r="L406" s="6"/>
      <c r="M406" s="11"/>
      <c r="N406" s="12"/>
      <c r="O406" s="13"/>
      <c r="P406" s="6"/>
      <c r="Q406" s="6"/>
      <c r="R406" s="6"/>
    </row>
    <row r="407" spans="1:18" x14ac:dyDescent="0.25">
      <c r="A407" s="13"/>
      <c r="B407" s="13"/>
      <c r="C407" s="13"/>
      <c r="D407" s="6"/>
      <c r="E407" s="6"/>
      <c r="F407" s="7"/>
      <c r="G407" s="8" t="e">
        <f>VLOOKUP(F407,'controle saldo'!A$2:N$240,3,FALSE)</f>
        <v>#N/A</v>
      </c>
      <c r="H407" s="7"/>
      <c r="I407" s="9"/>
      <c r="J407" s="10"/>
      <c r="K407" s="6"/>
      <c r="L407" s="6"/>
      <c r="M407" s="11"/>
      <c r="N407" s="12"/>
      <c r="O407" s="13"/>
      <c r="P407" s="6"/>
      <c r="Q407" s="6"/>
      <c r="R407" s="6"/>
    </row>
    <row r="408" spans="1:18" x14ac:dyDescent="0.25">
      <c r="A408" s="13"/>
      <c r="B408" s="13"/>
      <c r="C408" s="13"/>
      <c r="D408" s="6"/>
      <c r="E408" s="6"/>
      <c r="F408" s="7"/>
      <c r="G408" s="8" t="e">
        <f>VLOOKUP(F408,'controle saldo'!A$2:N$240,3,FALSE)</f>
        <v>#N/A</v>
      </c>
      <c r="H408" s="7"/>
      <c r="I408" s="9"/>
      <c r="J408" s="10"/>
      <c r="K408" s="6"/>
      <c r="L408" s="6"/>
      <c r="M408" s="11"/>
      <c r="N408" s="12"/>
      <c r="O408" s="13"/>
      <c r="P408" s="6"/>
      <c r="Q408" s="6"/>
      <c r="R408" s="6"/>
    </row>
    <row r="409" spans="1:18" x14ac:dyDescent="0.25">
      <c r="A409" s="13"/>
      <c r="B409" s="13"/>
      <c r="C409" s="13"/>
      <c r="D409" s="6"/>
      <c r="E409" s="6"/>
      <c r="F409" s="7"/>
      <c r="G409" s="8" t="e">
        <f>VLOOKUP(F409,'controle saldo'!A$2:N$240,3,FALSE)</f>
        <v>#N/A</v>
      </c>
      <c r="H409" s="7"/>
      <c r="I409" s="9"/>
      <c r="J409" s="10"/>
      <c r="K409" s="6"/>
      <c r="L409" s="6"/>
      <c r="M409" s="11"/>
      <c r="N409" s="12"/>
      <c r="O409" s="13"/>
      <c r="P409" s="6"/>
      <c r="Q409" s="6"/>
      <c r="R409" s="6"/>
    </row>
    <row r="410" spans="1:18" x14ac:dyDescent="0.25">
      <c r="A410" s="13"/>
      <c r="B410" s="13"/>
      <c r="C410" s="13"/>
      <c r="D410" s="6"/>
      <c r="E410" s="6"/>
      <c r="F410" s="7"/>
      <c r="G410" s="8" t="e">
        <f>VLOOKUP(F410,'controle saldo'!A$2:N$240,3,FALSE)</f>
        <v>#N/A</v>
      </c>
      <c r="H410" s="7"/>
      <c r="I410" s="9"/>
      <c r="J410" s="10"/>
      <c r="K410" s="6"/>
      <c r="L410" s="6"/>
      <c r="M410" s="11"/>
      <c r="N410" s="12"/>
      <c r="O410" s="13"/>
      <c r="P410" s="6"/>
      <c r="Q410" s="6"/>
      <c r="R410" s="6"/>
    </row>
    <row r="411" spans="1:18" x14ac:dyDescent="0.25">
      <c r="A411" s="13"/>
      <c r="B411" s="13"/>
      <c r="C411" s="13"/>
      <c r="D411" s="6"/>
      <c r="E411" s="6"/>
      <c r="F411" s="7"/>
      <c r="G411" s="8" t="e">
        <f>VLOOKUP(F411,'controle saldo'!A$2:N$240,3,FALSE)</f>
        <v>#N/A</v>
      </c>
      <c r="H411" s="7"/>
      <c r="I411" s="9"/>
      <c r="J411" s="10"/>
      <c r="K411" s="6"/>
      <c r="L411" s="6"/>
      <c r="M411" s="11"/>
      <c r="N411" s="12"/>
      <c r="O411" s="13"/>
      <c r="P411" s="6"/>
      <c r="Q411" s="6"/>
      <c r="R411" s="6"/>
    </row>
    <row r="412" spans="1:18" x14ac:dyDescent="0.25">
      <c r="A412" s="13"/>
      <c r="B412" s="13"/>
      <c r="C412" s="13"/>
      <c r="D412" s="6"/>
      <c r="E412" s="6"/>
      <c r="F412" s="7"/>
      <c r="G412" s="8" t="e">
        <f>VLOOKUP(F412,'controle saldo'!A$2:N$240,3,FALSE)</f>
        <v>#N/A</v>
      </c>
      <c r="H412" s="7"/>
      <c r="I412" s="9"/>
      <c r="J412" s="10"/>
      <c r="K412" s="6"/>
      <c r="L412" s="6"/>
      <c r="M412" s="11"/>
      <c r="N412" s="12"/>
      <c r="O412" s="13"/>
      <c r="P412" s="6"/>
      <c r="Q412" s="6"/>
      <c r="R412" s="6"/>
    </row>
    <row r="413" spans="1:18" x14ac:dyDescent="0.25">
      <c r="A413" s="13"/>
      <c r="B413" s="13"/>
      <c r="C413" s="13"/>
      <c r="D413" s="6"/>
      <c r="E413" s="6"/>
      <c r="F413" s="7"/>
      <c r="G413" s="8" t="e">
        <f>VLOOKUP(F413,'controle saldo'!A$2:N$240,3,FALSE)</f>
        <v>#N/A</v>
      </c>
      <c r="H413" s="7"/>
      <c r="I413" s="9"/>
      <c r="J413" s="10"/>
      <c r="K413" s="6"/>
      <c r="L413" s="6"/>
      <c r="M413" s="11"/>
      <c r="N413" s="12"/>
      <c r="O413" s="13"/>
      <c r="P413" s="6"/>
      <c r="Q413" s="6"/>
      <c r="R413" s="6"/>
    </row>
    <row r="414" spans="1:18" x14ac:dyDescent="0.25">
      <c r="A414" s="13"/>
      <c r="B414" s="13"/>
      <c r="C414" s="13"/>
      <c r="D414" s="6"/>
      <c r="E414" s="6"/>
      <c r="F414" s="7"/>
      <c r="G414" s="8" t="e">
        <f>VLOOKUP(F414,'controle saldo'!A$2:N$240,3,FALSE)</f>
        <v>#N/A</v>
      </c>
      <c r="H414" s="7"/>
      <c r="I414" s="9"/>
      <c r="J414" s="10"/>
      <c r="K414" s="6"/>
      <c r="L414" s="6"/>
      <c r="M414" s="11"/>
      <c r="N414" s="12"/>
      <c r="O414" s="13"/>
      <c r="P414" s="6"/>
      <c r="Q414" s="6"/>
      <c r="R414" s="6"/>
    </row>
    <row r="415" spans="1:18" x14ac:dyDescent="0.25">
      <c r="A415" s="13"/>
      <c r="B415" s="13"/>
      <c r="C415" s="13"/>
      <c r="D415" s="6"/>
      <c r="E415" s="6"/>
      <c r="F415" s="7"/>
      <c r="G415" s="8" t="e">
        <f>VLOOKUP(F415,'controle saldo'!A$2:N$240,3,FALSE)</f>
        <v>#N/A</v>
      </c>
      <c r="H415" s="7"/>
      <c r="I415" s="9"/>
      <c r="J415" s="10"/>
      <c r="K415" s="6"/>
      <c r="L415" s="6"/>
      <c r="M415" s="11"/>
      <c r="N415" s="12"/>
      <c r="O415" s="13"/>
      <c r="P415" s="6"/>
      <c r="Q415" s="6"/>
      <c r="R415" s="6"/>
    </row>
    <row r="416" spans="1:18" x14ac:dyDescent="0.25">
      <c r="A416" s="13"/>
      <c r="B416" s="13"/>
      <c r="C416" s="13"/>
      <c r="D416" s="6"/>
      <c r="E416" s="6"/>
      <c r="F416" s="7"/>
      <c r="G416" s="8" t="e">
        <f>VLOOKUP(F416,'controle saldo'!A$2:N$240,3,FALSE)</f>
        <v>#N/A</v>
      </c>
      <c r="H416" s="7"/>
      <c r="I416" s="9"/>
      <c r="J416" s="10"/>
      <c r="K416" s="6"/>
      <c r="L416" s="6"/>
      <c r="M416" s="11"/>
      <c r="N416" s="12"/>
      <c r="O416" s="13"/>
      <c r="P416" s="6"/>
      <c r="Q416" s="6"/>
      <c r="R416" s="6"/>
    </row>
    <row r="417" spans="1:18" x14ac:dyDescent="0.25">
      <c r="A417" s="13"/>
      <c r="B417" s="13"/>
      <c r="C417" s="13"/>
      <c r="D417" s="6"/>
      <c r="E417" s="6"/>
      <c r="F417" s="7"/>
      <c r="G417" s="8" t="e">
        <f>VLOOKUP(F417,'controle saldo'!A$2:N$240,3,FALSE)</f>
        <v>#N/A</v>
      </c>
      <c r="H417" s="7"/>
      <c r="I417" s="9"/>
      <c r="J417" s="10"/>
      <c r="K417" s="6"/>
      <c r="L417" s="6"/>
      <c r="M417" s="11"/>
      <c r="N417" s="12"/>
      <c r="O417" s="13"/>
      <c r="P417" s="6"/>
      <c r="Q417" s="6"/>
      <c r="R417" s="6"/>
    </row>
    <row r="418" spans="1:18" x14ac:dyDescent="0.25">
      <c r="A418" s="13"/>
      <c r="B418" s="13"/>
      <c r="C418" s="13"/>
      <c r="D418" s="6"/>
      <c r="E418" s="6"/>
      <c r="F418" s="7"/>
      <c r="G418" s="8" t="e">
        <f>VLOOKUP(F418,'controle saldo'!A$2:N$240,3,FALSE)</f>
        <v>#N/A</v>
      </c>
      <c r="H418" s="7"/>
      <c r="I418" s="9"/>
      <c r="J418" s="10"/>
      <c r="K418" s="6"/>
      <c r="L418" s="6"/>
      <c r="M418" s="11"/>
      <c r="N418" s="12"/>
      <c r="O418" s="13"/>
      <c r="P418" s="6"/>
      <c r="Q418" s="6"/>
      <c r="R418" s="6"/>
    </row>
    <row r="419" spans="1:18" x14ac:dyDescent="0.25">
      <c r="A419" s="13"/>
      <c r="B419" s="13"/>
      <c r="C419" s="13"/>
      <c r="D419" s="6"/>
      <c r="E419" s="6"/>
      <c r="F419" s="7"/>
      <c r="G419" s="8" t="e">
        <f>VLOOKUP(F419,'controle saldo'!A$2:N$240,3,FALSE)</f>
        <v>#N/A</v>
      </c>
      <c r="H419" s="7"/>
      <c r="I419" s="9"/>
      <c r="J419" s="10"/>
      <c r="K419" s="6"/>
      <c r="L419" s="6"/>
      <c r="M419" s="11"/>
      <c r="N419" s="12"/>
      <c r="O419" s="13"/>
      <c r="P419" s="6"/>
      <c r="Q419" s="6"/>
      <c r="R419" s="6"/>
    </row>
    <row r="420" spans="1:18" x14ac:dyDescent="0.25">
      <c r="A420" s="13"/>
      <c r="B420" s="13"/>
      <c r="C420" s="13"/>
      <c r="D420" s="6"/>
      <c r="E420" s="6"/>
      <c r="F420" s="7"/>
      <c r="G420" s="8" t="e">
        <f>VLOOKUP(F420,'controle saldo'!A$2:N$240,3,FALSE)</f>
        <v>#N/A</v>
      </c>
      <c r="H420" s="7"/>
      <c r="I420" s="9"/>
      <c r="J420" s="10"/>
      <c r="K420" s="6"/>
      <c r="L420" s="6"/>
      <c r="M420" s="11"/>
      <c r="N420" s="12"/>
      <c r="O420" s="13"/>
      <c r="P420" s="6"/>
      <c r="Q420" s="6"/>
      <c r="R420" s="6"/>
    </row>
    <row r="421" spans="1:18" x14ac:dyDescent="0.25">
      <c r="A421" s="13"/>
      <c r="B421" s="13"/>
      <c r="C421" s="13"/>
      <c r="D421" s="6"/>
      <c r="E421" s="6"/>
      <c r="F421" s="7"/>
      <c r="G421" s="8" t="e">
        <f>VLOOKUP(F421,'controle saldo'!A$2:N$240,3,FALSE)</f>
        <v>#N/A</v>
      </c>
      <c r="H421" s="7"/>
      <c r="I421" s="9"/>
      <c r="J421" s="10"/>
      <c r="K421" s="6"/>
      <c r="L421" s="6"/>
      <c r="M421" s="11"/>
      <c r="N421" s="12"/>
      <c r="O421" s="13"/>
      <c r="P421" s="6"/>
      <c r="Q421" s="6"/>
      <c r="R421" s="6"/>
    </row>
    <row r="422" spans="1:18" x14ac:dyDescent="0.25">
      <c r="A422" s="13"/>
      <c r="B422" s="13"/>
      <c r="C422" s="13"/>
      <c r="D422" s="6"/>
      <c r="E422" s="6"/>
      <c r="F422" s="7"/>
      <c r="G422" s="8" t="e">
        <f>VLOOKUP(F422,'controle saldo'!A$2:N$240,3,FALSE)</f>
        <v>#N/A</v>
      </c>
      <c r="H422" s="7"/>
      <c r="I422" s="9"/>
      <c r="J422" s="10"/>
      <c r="K422" s="6"/>
      <c r="L422" s="6"/>
      <c r="M422" s="11"/>
      <c r="N422" s="12"/>
      <c r="O422" s="13"/>
      <c r="P422" s="6"/>
      <c r="Q422" s="6"/>
      <c r="R422" s="6"/>
    </row>
    <row r="423" spans="1:18" x14ac:dyDescent="0.25">
      <c r="A423" s="13"/>
      <c r="B423" s="13"/>
      <c r="C423" s="13"/>
      <c r="D423" s="6"/>
      <c r="E423" s="6"/>
      <c r="F423" s="7"/>
      <c r="G423" s="8" t="e">
        <f>VLOOKUP(F423,'controle saldo'!A$2:N$240,3,FALSE)</f>
        <v>#N/A</v>
      </c>
      <c r="H423" s="7"/>
      <c r="I423" s="9"/>
      <c r="J423" s="10"/>
      <c r="K423" s="6"/>
      <c r="L423" s="6"/>
      <c r="M423" s="11"/>
      <c r="N423" s="12"/>
      <c r="O423" s="13"/>
      <c r="P423" s="6"/>
      <c r="Q423" s="6"/>
      <c r="R423" s="6"/>
    </row>
    <row r="424" spans="1:18" x14ac:dyDescent="0.25">
      <c r="A424" s="13"/>
      <c r="B424" s="13"/>
      <c r="C424" s="13"/>
      <c r="D424" s="6"/>
      <c r="E424" s="6"/>
      <c r="F424" s="7"/>
      <c r="G424" s="8" t="e">
        <f>VLOOKUP(F424,'controle saldo'!A$2:N$240,3,FALSE)</f>
        <v>#N/A</v>
      </c>
      <c r="H424" s="7"/>
      <c r="I424" s="9"/>
      <c r="J424" s="10"/>
      <c r="K424" s="6"/>
      <c r="L424" s="6"/>
      <c r="M424" s="11"/>
      <c r="N424" s="12"/>
      <c r="O424" s="13"/>
      <c r="P424" s="6"/>
      <c r="Q424" s="6"/>
      <c r="R424" s="6"/>
    </row>
    <row r="425" spans="1:18" x14ac:dyDescent="0.25">
      <c r="A425" s="13"/>
      <c r="B425" s="13"/>
      <c r="C425" s="13"/>
      <c r="D425" s="6"/>
      <c r="E425" s="6"/>
      <c r="F425" s="7"/>
      <c r="G425" s="8" t="e">
        <f>VLOOKUP(F425,'controle saldo'!A$2:N$240,3,FALSE)</f>
        <v>#N/A</v>
      </c>
      <c r="H425" s="7"/>
      <c r="I425" s="9"/>
      <c r="J425" s="10"/>
      <c r="K425" s="6"/>
      <c r="L425" s="6"/>
      <c r="M425" s="11"/>
      <c r="N425" s="12"/>
      <c r="O425" s="13"/>
      <c r="P425" s="6"/>
      <c r="Q425" s="6"/>
      <c r="R425" s="6"/>
    </row>
    <row r="426" spans="1:18" x14ac:dyDescent="0.25">
      <c r="A426" s="13"/>
      <c r="B426" s="13"/>
      <c r="C426" s="13"/>
      <c r="D426" s="6"/>
      <c r="E426" s="6"/>
      <c r="F426" s="7"/>
      <c r="G426" s="8" t="e">
        <f>VLOOKUP(F426,'controle saldo'!A$2:N$240,3,FALSE)</f>
        <v>#N/A</v>
      </c>
      <c r="H426" s="7"/>
      <c r="I426" s="9"/>
      <c r="J426" s="10"/>
      <c r="K426" s="6"/>
      <c r="L426" s="6"/>
      <c r="M426" s="11"/>
      <c r="N426" s="12"/>
      <c r="O426" s="13"/>
      <c r="P426" s="6"/>
      <c r="Q426" s="6"/>
      <c r="R426" s="6"/>
    </row>
    <row r="427" spans="1:18" x14ac:dyDescent="0.25">
      <c r="A427" s="13"/>
      <c r="B427" s="13"/>
      <c r="C427" s="13"/>
      <c r="D427" s="6"/>
      <c r="E427" s="6"/>
      <c r="F427" s="7"/>
      <c r="G427" s="8" t="e">
        <f>VLOOKUP(F427,'controle saldo'!A$2:N$240,3,FALSE)</f>
        <v>#N/A</v>
      </c>
      <c r="H427" s="7"/>
      <c r="I427" s="9"/>
      <c r="J427" s="10"/>
      <c r="K427" s="6"/>
      <c r="L427" s="6"/>
      <c r="M427" s="11"/>
      <c r="N427" s="12"/>
      <c r="O427" s="13"/>
      <c r="P427" s="6"/>
      <c r="Q427" s="6"/>
      <c r="R427" s="6"/>
    </row>
    <row r="428" spans="1:18" x14ac:dyDescent="0.25">
      <c r="A428" s="13"/>
      <c r="B428" s="13"/>
      <c r="C428" s="13"/>
      <c r="D428" s="6"/>
      <c r="E428" s="6"/>
      <c r="F428" s="7"/>
      <c r="G428" s="8" t="e">
        <f>VLOOKUP(F428,'controle saldo'!A$2:N$240,3,FALSE)</f>
        <v>#N/A</v>
      </c>
      <c r="H428" s="7"/>
      <c r="I428" s="9"/>
      <c r="J428" s="10"/>
      <c r="K428" s="6"/>
      <c r="L428" s="6"/>
      <c r="M428" s="11"/>
      <c r="N428" s="12"/>
      <c r="O428" s="13"/>
      <c r="P428" s="6"/>
      <c r="Q428" s="6"/>
      <c r="R428" s="6"/>
    </row>
    <row r="429" spans="1:18" x14ac:dyDescent="0.25">
      <c r="A429" s="13"/>
      <c r="B429" s="13"/>
      <c r="C429" s="13"/>
      <c r="D429" s="6"/>
      <c r="E429" s="6"/>
      <c r="F429" s="7"/>
      <c r="G429" s="8" t="e">
        <f>VLOOKUP(F429,'controle saldo'!A$2:N$240,3,FALSE)</f>
        <v>#N/A</v>
      </c>
      <c r="H429" s="7"/>
      <c r="I429" s="9"/>
      <c r="J429" s="10"/>
      <c r="K429" s="6"/>
      <c r="L429" s="6"/>
      <c r="M429" s="11"/>
      <c r="N429" s="12"/>
      <c r="O429" s="13"/>
      <c r="P429" s="6"/>
      <c r="Q429" s="6"/>
      <c r="R429" s="6"/>
    </row>
    <row r="430" spans="1:18" x14ac:dyDescent="0.25">
      <c r="A430" s="13"/>
      <c r="B430" s="13"/>
      <c r="C430" s="13"/>
      <c r="D430" s="6"/>
      <c r="E430" s="6"/>
      <c r="F430" s="7"/>
      <c r="G430" s="8" t="e">
        <f>VLOOKUP(F430,'controle saldo'!A$2:N$240,3,FALSE)</f>
        <v>#N/A</v>
      </c>
      <c r="H430" s="7"/>
      <c r="I430" s="9"/>
      <c r="J430" s="10"/>
      <c r="K430" s="6"/>
      <c r="L430" s="6"/>
      <c r="M430" s="11"/>
      <c r="N430" s="12"/>
      <c r="O430" s="13"/>
      <c r="P430" s="6"/>
      <c r="Q430" s="6"/>
      <c r="R430" s="6"/>
    </row>
    <row r="431" spans="1:18" x14ac:dyDescent="0.25">
      <c r="A431" s="13"/>
      <c r="B431" s="13"/>
      <c r="C431" s="13"/>
      <c r="D431" s="6"/>
      <c r="E431" s="6"/>
      <c r="F431" s="7"/>
      <c r="G431" s="8" t="e">
        <f>VLOOKUP(F431,'controle saldo'!A$2:N$240,3,FALSE)</f>
        <v>#N/A</v>
      </c>
      <c r="H431" s="7"/>
      <c r="I431" s="9"/>
      <c r="J431" s="10"/>
      <c r="K431" s="6"/>
      <c r="L431" s="6"/>
      <c r="M431" s="11"/>
      <c r="N431" s="12"/>
      <c r="O431" s="13"/>
      <c r="P431" s="6"/>
      <c r="Q431" s="6"/>
      <c r="R431" s="6"/>
    </row>
    <row r="432" spans="1:18" x14ac:dyDescent="0.25">
      <c r="A432" s="13"/>
      <c r="B432" s="13"/>
      <c r="C432" s="13"/>
      <c r="D432" s="6"/>
      <c r="E432" s="6"/>
      <c r="F432" s="7"/>
      <c r="G432" s="8" t="e">
        <f>VLOOKUP(F432,'controle saldo'!A$2:N$240,3,FALSE)</f>
        <v>#N/A</v>
      </c>
      <c r="H432" s="7"/>
      <c r="I432" s="9"/>
      <c r="J432" s="10"/>
      <c r="K432" s="6"/>
      <c r="L432" s="6"/>
      <c r="M432" s="11"/>
      <c r="N432" s="12"/>
      <c r="O432" s="13"/>
      <c r="P432" s="6"/>
      <c r="Q432" s="6"/>
      <c r="R432" s="6"/>
    </row>
    <row r="433" spans="1:18" x14ac:dyDescent="0.25">
      <c r="A433" s="13"/>
      <c r="B433" s="13"/>
      <c r="C433" s="13"/>
      <c r="D433" s="6"/>
      <c r="E433" s="6"/>
      <c r="F433" s="7"/>
      <c r="G433" s="8" t="e">
        <f>VLOOKUP(F433,'controle saldo'!A$2:N$240,3,FALSE)</f>
        <v>#N/A</v>
      </c>
      <c r="H433" s="7"/>
      <c r="I433" s="9"/>
      <c r="J433" s="10"/>
      <c r="K433" s="6"/>
      <c r="L433" s="6"/>
      <c r="M433" s="11"/>
      <c r="N433" s="12"/>
      <c r="O433" s="13"/>
      <c r="P433" s="6"/>
      <c r="Q433" s="6"/>
      <c r="R433" s="6"/>
    </row>
    <row r="434" spans="1:18" x14ac:dyDescent="0.25">
      <c r="A434" s="13"/>
      <c r="B434" s="13"/>
      <c r="C434" s="13"/>
      <c r="D434" s="6"/>
      <c r="E434" s="6"/>
      <c r="F434" s="7"/>
      <c r="G434" s="8" t="e">
        <f>VLOOKUP(F434,'controle saldo'!A$2:N$240,3,FALSE)</f>
        <v>#N/A</v>
      </c>
      <c r="H434" s="7"/>
      <c r="I434" s="9"/>
      <c r="J434" s="10"/>
      <c r="K434" s="6"/>
      <c r="L434" s="6"/>
      <c r="M434" s="11"/>
      <c r="N434" s="12"/>
      <c r="O434" s="13"/>
      <c r="P434" s="6"/>
      <c r="Q434" s="6"/>
      <c r="R434" s="6"/>
    </row>
    <row r="435" spans="1:18" x14ac:dyDescent="0.25">
      <c r="A435" s="13"/>
      <c r="B435" s="13"/>
      <c r="C435" s="13"/>
      <c r="D435" s="6"/>
      <c r="E435" s="6"/>
      <c r="F435" s="7"/>
      <c r="G435" s="8" t="e">
        <f>VLOOKUP(F435,'controle saldo'!A$2:N$240,3,FALSE)</f>
        <v>#N/A</v>
      </c>
      <c r="H435" s="7"/>
      <c r="I435" s="9"/>
      <c r="J435" s="10"/>
      <c r="K435" s="6"/>
      <c r="L435" s="6"/>
      <c r="M435" s="11"/>
      <c r="N435" s="12"/>
      <c r="O435" s="13"/>
      <c r="P435" s="6"/>
      <c r="Q435" s="6"/>
      <c r="R435" s="6"/>
    </row>
    <row r="436" spans="1:18" x14ac:dyDescent="0.25">
      <c r="A436" s="13"/>
      <c r="B436" s="13"/>
      <c r="C436" s="13"/>
      <c r="D436" s="6"/>
      <c r="E436" s="6"/>
      <c r="F436" s="7"/>
      <c r="G436" s="8" t="e">
        <f>VLOOKUP(F436,'controle saldo'!A$2:N$240,3,FALSE)</f>
        <v>#N/A</v>
      </c>
      <c r="H436" s="7"/>
      <c r="I436" s="9"/>
      <c r="J436" s="10"/>
      <c r="K436" s="6"/>
      <c r="L436" s="6"/>
      <c r="M436" s="11"/>
      <c r="N436" s="12"/>
      <c r="O436" s="13"/>
      <c r="P436" s="6"/>
      <c r="Q436" s="6"/>
      <c r="R436" s="6"/>
    </row>
    <row r="437" spans="1:18" x14ac:dyDescent="0.25">
      <c r="A437" s="13"/>
      <c r="B437" s="13"/>
      <c r="C437" s="13"/>
      <c r="D437" s="6"/>
      <c r="E437" s="6"/>
      <c r="F437" s="7"/>
      <c r="G437" s="8" t="e">
        <f>VLOOKUP(F437,'controle saldo'!A$2:N$240,3,FALSE)</f>
        <v>#N/A</v>
      </c>
      <c r="H437" s="7"/>
      <c r="I437" s="9"/>
      <c r="J437" s="10"/>
      <c r="K437" s="6"/>
      <c r="L437" s="6"/>
      <c r="M437" s="11"/>
      <c r="N437" s="12"/>
      <c r="O437" s="13"/>
      <c r="P437" s="6"/>
      <c r="Q437" s="6"/>
      <c r="R437" s="6"/>
    </row>
    <row r="438" spans="1:18" x14ac:dyDescent="0.25">
      <c r="A438" s="13"/>
      <c r="B438" s="13"/>
      <c r="C438" s="13"/>
      <c r="D438" s="6"/>
      <c r="E438" s="6"/>
      <c r="F438" s="7"/>
      <c r="G438" s="8" t="e">
        <f>VLOOKUP(F438,'controle saldo'!A$2:N$240,3,FALSE)</f>
        <v>#N/A</v>
      </c>
      <c r="H438" s="7"/>
      <c r="I438" s="9"/>
      <c r="J438" s="10"/>
      <c r="K438" s="6"/>
      <c r="L438" s="6"/>
      <c r="M438" s="11"/>
      <c r="N438" s="12"/>
      <c r="O438" s="13"/>
      <c r="P438" s="6"/>
      <c r="Q438" s="6"/>
      <c r="R438" s="6"/>
    </row>
    <row r="439" spans="1:18" x14ac:dyDescent="0.25">
      <c r="A439" s="13"/>
      <c r="B439" s="13"/>
      <c r="C439" s="13"/>
      <c r="D439" s="6"/>
      <c r="E439" s="6"/>
      <c r="F439" s="7"/>
      <c r="G439" s="8" t="e">
        <f>VLOOKUP(F439,'controle saldo'!A$2:N$240,3,FALSE)</f>
        <v>#N/A</v>
      </c>
      <c r="H439" s="7"/>
      <c r="I439" s="9"/>
      <c r="J439" s="10"/>
      <c r="K439" s="6"/>
      <c r="L439" s="6"/>
      <c r="M439" s="11"/>
      <c r="N439" s="12"/>
      <c r="O439" s="13"/>
      <c r="P439" s="6"/>
      <c r="Q439" s="6"/>
      <c r="R439" s="6"/>
    </row>
    <row r="440" spans="1:18" x14ac:dyDescent="0.25">
      <c r="A440" s="13"/>
      <c r="B440" s="13"/>
      <c r="C440" s="13"/>
      <c r="D440" s="6"/>
      <c r="E440" s="6"/>
      <c r="F440" s="7"/>
      <c r="G440" s="8" t="e">
        <f>VLOOKUP(F440,'controle saldo'!A$2:N$240,3,FALSE)</f>
        <v>#N/A</v>
      </c>
      <c r="H440" s="7"/>
      <c r="I440" s="9"/>
      <c r="J440" s="10"/>
      <c r="K440" s="6"/>
      <c r="L440" s="6"/>
      <c r="M440" s="11"/>
      <c r="N440" s="12"/>
      <c r="O440" s="13"/>
      <c r="P440" s="6"/>
      <c r="Q440" s="6"/>
      <c r="R440" s="6"/>
    </row>
    <row r="441" spans="1:18" x14ac:dyDescent="0.25">
      <c r="A441" s="13"/>
      <c r="B441" s="13"/>
      <c r="C441" s="13"/>
      <c r="D441" s="6"/>
      <c r="E441" s="6"/>
      <c r="F441" s="7"/>
      <c r="G441" s="8" t="e">
        <f>VLOOKUP(F441,'controle saldo'!A$2:N$240,3,FALSE)</f>
        <v>#N/A</v>
      </c>
      <c r="H441" s="7"/>
      <c r="I441" s="9"/>
      <c r="J441" s="10"/>
      <c r="K441" s="6"/>
      <c r="L441" s="6"/>
      <c r="M441" s="11"/>
      <c r="N441" s="12"/>
      <c r="O441" s="13"/>
      <c r="P441" s="6"/>
      <c r="Q441" s="6"/>
      <c r="R441" s="6"/>
    </row>
    <row r="442" spans="1:18" x14ac:dyDescent="0.25">
      <c r="A442" s="13"/>
      <c r="B442" s="13"/>
      <c r="C442" s="13"/>
      <c r="D442" s="6"/>
      <c r="E442" s="6"/>
      <c r="F442" s="7"/>
      <c r="G442" s="8" t="e">
        <f>VLOOKUP(F442,'controle saldo'!A$2:N$240,3,FALSE)</f>
        <v>#N/A</v>
      </c>
      <c r="H442" s="7"/>
      <c r="I442" s="9"/>
      <c r="J442" s="10"/>
      <c r="K442" s="6"/>
      <c r="L442" s="6"/>
      <c r="M442" s="11"/>
      <c r="N442" s="12"/>
      <c r="O442" s="13"/>
      <c r="P442" s="6"/>
      <c r="Q442" s="6"/>
      <c r="R442" s="6"/>
    </row>
    <row r="443" spans="1:18" x14ac:dyDescent="0.25">
      <c r="A443" s="13"/>
      <c r="B443" s="13"/>
      <c r="C443" s="13"/>
      <c r="D443" s="6"/>
      <c r="E443" s="6"/>
      <c r="F443" s="7"/>
      <c r="G443" s="8" t="e">
        <f>VLOOKUP(F443,'controle saldo'!A$2:N$240,3,FALSE)</f>
        <v>#N/A</v>
      </c>
      <c r="H443" s="7"/>
      <c r="I443" s="9"/>
      <c r="J443" s="10"/>
      <c r="K443" s="6"/>
      <c r="L443" s="6"/>
      <c r="M443" s="11"/>
      <c r="N443" s="12"/>
      <c r="O443" s="13"/>
      <c r="P443" s="6"/>
      <c r="Q443" s="6"/>
      <c r="R443" s="6"/>
    </row>
    <row r="444" spans="1:18" x14ac:dyDescent="0.25">
      <c r="A444" s="13"/>
      <c r="B444" s="13"/>
      <c r="C444" s="13"/>
      <c r="D444" s="6"/>
      <c r="E444" s="6"/>
      <c r="F444" s="7"/>
      <c r="G444" s="8" t="e">
        <f>VLOOKUP(F444,'controle saldo'!A$2:N$240,3,FALSE)</f>
        <v>#N/A</v>
      </c>
      <c r="H444" s="7"/>
      <c r="I444" s="9"/>
      <c r="J444" s="10"/>
      <c r="K444" s="6"/>
      <c r="L444" s="6"/>
      <c r="M444" s="11"/>
      <c r="N444" s="12"/>
      <c r="O444" s="13"/>
      <c r="P444" s="6"/>
      <c r="Q444" s="6"/>
      <c r="R444" s="6"/>
    </row>
    <row r="445" spans="1:18" x14ac:dyDescent="0.25">
      <c r="A445" s="13"/>
      <c r="B445" s="13"/>
      <c r="C445" s="13"/>
      <c r="D445" s="6"/>
      <c r="E445" s="6"/>
      <c r="F445" s="7"/>
      <c r="G445" s="8" t="e">
        <f>VLOOKUP(F445,'controle saldo'!A$2:N$240,3,FALSE)</f>
        <v>#N/A</v>
      </c>
      <c r="H445" s="7"/>
      <c r="I445" s="9"/>
      <c r="J445" s="10"/>
      <c r="K445" s="6"/>
      <c r="L445" s="6"/>
      <c r="M445" s="11"/>
      <c r="N445" s="12"/>
      <c r="O445" s="13"/>
      <c r="P445" s="6"/>
      <c r="Q445" s="6"/>
      <c r="R445" s="6"/>
    </row>
    <row r="446" spans="1:18" x14ac:dyDescent="0.25">
      <c r="A446" s="13"/>
      <c r="B446" s="13"/>
      <c r="C446" s="13"/>
      <c r="D446" s="6"/>
      <c r="E446" s="6"/>
      <c r="F446" s="7"/>
      <c r="G446" s="8" t="e">
        <f>VLOOKUP(F446,'controle saldo'!A$2:N$240,3,FALSE)</f>
        <v>#N/A</v>
      </c>
      <c r="H446" s="7"/>
      <c r="I446" s="9"/>
      <c r="J446" s="10"/>
      <c r="K446" s="6"/>
      <c r="L446" s="6"/>
      <c r="M446" s="11"/>
      <c r="N446" s="12"/>
      <c r="O446" s="13"/>
      <c r="P446" s="6"/>
      <c r="Q446" s="6"/>
      <c r="R446" s="6"/>
    </row>
    <row r="447" spans="1:18" x14ac:dyDescent="0.25">
      <c r="A447" s="13"/>
      <c r="B447" s="13"/>
      <c r="C447" s="13"/>
      <c r="D447" s="6"/>
      <c r="E447" s="6"/>
      <c r="F447" s="7"/>
      <c r="G447" s="8" t="e">
        <f>VLOOKUP(F447,'controle saldo'!A$2:N$240,3,FALSE)</f>
        <v>#N/A</v>
      </c>
      <c r="H447" s="7"/>
      <c r="I447" s="9"/>
      <c r="J447" s="10"/>
      <c r="K447" s="6"/>
      <c r="L447" s="6"/>
      <c r="M447" s="11"/>
      <c r="N447" s="12"/>
      <c r="O447" s="13"/>
      <c r="P447" s="6"/>
      <c r="Q447" s="6"/>
      <c r="R447" s="6"/>
    </row>
    <row r="448" spans="1:18" x14ac:dyDescent="0.25">
      <c r="A448" s="13"/>
      <c r="B448" s="13"/>
      <c r="C448" s="13"/>
      <c r="D448" s="6"/>
      <c r="E448" s="6"/>
      <c r="F448" s="7"/>
      <c r="G448" s="8" t="e">
        <f>VLOOKUP(F448,'controle saldo'!A$2:N$240,3,FALSE)</f>
        <v>#N/A</v>
      </c>
      <c r="H448" s="7"/>
      <c r="I448" s="9"/>
      <c r="J448" s="10"/>
      <c r="K448" s="6"/>
      <c r="L448" s="6"/>
      <c r="M448" s="11"/>
      <c r="N448" s="12"/>
      <c r="O448" s="13"/>
      <c r="P448" s="6"/>
      <c r="Q448" s="6"/>
      <c r="R448" s="6"/>
    </row>
    <row r="449" spans="1:18" x14ac:dyDescent="0.25">
      <c r="A449" s="13"/>
      <c r="B449" s="13"/>
      <c r="C449" s="13"/>
      <c r="D449" s="6"/>
      <c r="E449" s="6"/>
      <c r="F449" s="7"/>
      <c r="G449" s="8" t="e">
        <f>VLOOKUP(F449,'controle saldo'!A$2:N$240,3,FALSE)</f>
        <v>#N/A</v>
      </c>
      <c r="H449" s="7"/>
      <c r="I449" s="9"/>
      <c r="J449" s="10"/>
      <c r="K449" s="6"/>
      <c r="L449" s="6"/>
      <c r="M449" s="11"/>
      <c r="N449" s="12"/>
      <c r="O449" s="13"/>
      <c r="P449" s="6"/>
      <c r="Q449" s="6"/>
      <c r="R449" s="6"/>
    </row>
    <row r="450" spans="1:18" x14ac:dyDescent="0.25">
      <c r="A450" s="13"/>
      <c r="B450" s="13"/>
      <c r="C450" s="13"/>
      <c r="D450" s="6"/>
      <c r="E450" s="6"/>
      <c r="F450" s="7"/>
      <c r="G450" s="8" t="e">
        <f>VLOOKUP(F450,'controle saldo'!A$2:N$240,3,FALSE)</f>
        <v>#N/A</v>
      </c>
      <c r="H450" s="7"/>
      <c r="I450" s="9"/>
      <c r="J450" s="10"/>
      <c r="K450" s="6"/>
      <c r="L450" s="6"/>
      <c r="M450" s="11"/>
      <c r="N450" s="12"/>
      <c r="O450" s="13"/>
      <c r="P450" s="6"/>
      <c r="Q450" s="6"/>
      <c r="R450" s="6"/>
    </row>
    <row r="451" spans="1:18" x14ac:dyDescent="0.25">
      <c r="A451" s="13"/>
      <c r="B451" s="13"/>
      <c r="C451" s="13"/>
      <c r="D451" s="6"/>
      <c r="E451" s="6"/>
      <c r="F451" s="7"/>
      <c r="G451" s="8" t="e">
        <f>VLOOKUP(F451,'controle saldo'!A$2:N$240,3,FALSE)</f>
        <v>#N/A</v>
      </c>
      <c r="H451" s="7"/>
      <c r="I451" s="9"/>
      <c r="J451" s="10"/>
      <c r="K451" s="6"/>
      <c r="L451" s="6"/>
      <c r="M451" s="11"/>
      <c r="N451" s="12"/>
      <c r="O451" s="13"/>
      <c r="P451" s="6"/>
      <c r="Q451" s="6"/>
      <c r="R451" s="6"/>
    </row>
    <row r="452" spans="1:18" x14ac:dyDescent="0.25">
      <c r="A452" s="13"/>
      <c r="B452" s="13"/>
      <c r="C452" s="13"/>
      <c r="D452" s="6"/>
      <c r="E452" s="6"/>
      <c r="F452" s="7"/>
      <c r="G452" s="8" t="e">
        <f>VLOOKUP(F452,'controle saldo'!A$2:N$240,3,FALSE)</f>
        <v>#N/A</v>
      </c>
      <c r="H452" s="7"/>
      <c r="I452" s="9"/>
      <c r="J452" s="10"/>
      <c r="K452" s="6"/>
      <c r="L452" s="6"/>
      <c r="M452" s="11"/>
      <c r="N452" s="12"/>
      <c r="O452" s="13"/>
      <c r="P452" s="6"/>
      <c r="Q452" s="6"/>
      <c r="R452" s="6"/>
    </row>
    <row r="453" spans="1:18" x14ac:dyDescent="0.25">
      <c r="A453" s="13"/>
      <c r="B453" s="13"/>
      <c r="C453" s="13"/>
      <c r="D453" s="6"/>
      <c r="E453" s="6"/>
      <c r="F453" s="7"/>
      <c r="G453" s="8" t="e">
        <f>VLOOKUP(F453,'controle saldo'!A$2:N$240,3,FALSE)</f>
        <v>#N/A</v>
      </c>
      <c r="H453" s="7"/>
      <c r="I453" s="9"/>
      <c r="J453" s="10"/>
      <c r="K453" s="6"/>
      <c r="L453" s="6"/>
      <c r="M453" s="11"/>
      <c r="N453" s="12"/>
      <c r="O453" s="13"/>
      <c r="P453" s="6"/>
      <c r="Q453" s="6"/>
      <c r="R453" s="6"/>
    </row>
    <row r="454" spans="1:18" x14ac:dyDescent="0.25">
      <c r="A454" s="13"/>
      <c r="B454" s="13"/>
      <c r="C454" s="13"/>
      <c r="D454" s="6"/>
      <c r="E454" s="6"/>
      <c r="F454" s="7"/>
      <c r="G454" s="8" t="e">
        <f>VLOOKUP(F454,'controle saldo'!A$2:N$240,3,FALSE)</f>
        <v>#N/A</v>
      </c>
      <c r="H454" s="7"/>
      <c r="I454" s="9"/>
      <c r="J454" s="10"/>
      <c r="K454" s="6"/>
      <c r="L454" s="6"/>
      <c r="M454" s="11"/>
      <c r="N454" s="12"/>
      <c r="O454" s="13"/>
      <c r="P454" s="6"/>
      <c r="Q454" s="6"/>
      <c r="R454" s="6"/>
    </row>
    <row r="455" spans="1:18" x14ac:dyDescent="0.25">
      <c r="A455" s="13"/>
      <c r="B455" s="13"/>
      <c r="C455" s="13"/>
      <c r="D455" s="6"/>
      <c r="E455" s="6"/>
      <c r="F455" s="7"/>
      <c r="G455" s="8" t="e">
        <f>VLOOKUP(F455,'controle saldo'!A$2:N$240,3,FALSE)</f>
        <v>#N/A</v>
      </c>
      <c r="H455" s="7"/>
      <c r="I455" s="9"/>
      <c r="J455" s="10"/>
      <c r="K455" s="6"/>
      <c r="L455" s="6"/>
      <c r="M455" s="11"/>
      <c r="N455" s="12"/>
      <c r="O455" s="13"/>
      <c r="P455" s="6"/>
      <c r="Q455" s="6"/>
      <c r="R455" s="6"/>
    </row>
    <row r="456" spans="1:18" x14ac:dyDescent="0.25">
      <c r="A456" s="13"/>
      <c r="B456" s="13"/>
      <c r="C456" s="13"/>
      <c r="D456" s="6"/>
      <c r="E456" s="6"/>
      <c r="F456" s="7"/>
      <c r="G456" s="8" t="e">
        <f>VLOOKUP(F456,'controle saldo'!A$2:N$240,3,FALSE)</f>
        <v>#N/A</v>
      </c>
      <c r="H456" s="7"/>
      <c r="I456" s="9"/>
      <c r="J456" s="10"/>
      <c r="K456" s="6"/>
      <c r="L456" s="6"/>
      <c r="M456" s="11"/>
      <c r="N456" s="12"/>
      <c r="O456" s="13"/>
      <c r="P456" s="6"/>
      <c r="Q456" s="6"/>
      <c r="R456" s="6"/>
    </row>
    <row r="457" spans="1:18" x14ac:dyDescent="0.25">
      <c r="A457" s="13"/>
      <c r="B457" s="13"/>
      <c r="C457" s="13"/>
      <c r="D457" s="6"/>
      <c r="E457" s="6"/>
      <c r="F457" s="7"/>
      <c r="G457" s="8" t="e">
        <f>VLOOKUP(F457,'controle saldo'!A$2:N$240,3,FALSE)</f>
        <v>#N/A</v>
      </c>
      <c r="H457" s="7"/>
      <c r="I457" s="9"/>
      <c r="J457" s="10"/>
      <c r="K457" s="6"/>
      <c r="L457" s="6"/>
      <c r="M457" s="11"/>
      <c r="N457" s="12"/>
      <c r="O457" s="13"/>
      <c r="P457" s="6"/>
      <c r="Q457" s="6"/>
      <c r="R457" s="6"/>
    </row>
    <row r="458" spans="1:18" x14ac:dyDescent="0.25">
      <c r="A458" s="13"/>
      <c r="B458" s="13"/>
      <c r="C458" s="13"/>
      <c r="D458" s="6"/>
      <c r="E458" s="6"/>
      <c r="F458" s="7"/>
      <c r="G458" s="8" t="e">
        <f>VLOOKUP(F458,'controle saldo'!A$2:N$240,3,FALSE)</f>
        <v>#N/A</v>
      </c>
      <c r="H458" s="7"/>
      <c r="I458" s="9"/>
      <c r="J458" s="10"/>
      <c r="K458" s="6"/>
      <c r="L458" s="6"/>
      <c r="M458" s="11"/>
      <c r="N458" s="12"/>
      <c r="O458" s="13"/>
      <c r="P458" s="6"/>
      <c r="Q458" s="6"/>
      <c r="R458" s="6"/>
    </row>
    <row r="459" spans="1:18" x14ac:dyDescent="0.25">
      <c r="A459" s="13"/>
      <c r="B459" s="13"/>
      <c r="C459" s="13"/>
      <c r="D459" s="6"/>
      <c r="E459" s="6"/>
      <c r="F459" s="7"/>
      <c r="G459" s="8" t="e">
        <f>VLOOKUP(F459,'controle saldo'!A$2:N$240,3,FALSE)</f>
        <v>#N/A</v>
      </c>
      <c r="H459" s="7"/>
      <c r="I459" s="9"/>
      <c r="J459" s="10"/>
      <c r="K459" s="6"/>
      <c r="L459" s="6"/>
      <c r="M459" s="11"/>
      <c r="N459" s="12"/>
      <c r="O459" s="13"/>
      <c r="P459" s="6"/>
      <c r="Q459" s="6"/>
      <c r="R459" s="6"/>
    </row>
    <row r="460" spans="1:18" x14ac:dyDescent="0.25">
      <c r="A460" s="13"/>
      <c r="B460" s="13"/>
      <c r="C460" s="13"/>
      <c r="D460" s="6"/>
      <c r="E460" s="6"/>
      <c r="F460" s="7"/>
      <c r="G460" s="8" t="e">
        <f>VLOOKUP(F460,'controle saldo'!A$2:N$240,3,FALSE)</f>
        <v>#N/A</v>
      </c>
      <c r="H460" s="7"/>
      <c r="I460" s="9"/>
      <c r="J460" s="10"/>
      <c r="K460" s="6"/>
      <c r="L460" s="6"/>
      <c r="M460" s="11"/>
      <c r="N460" s="12"/>
      <c r="O460" s="13"/>
      <c r="P460" s="6"/>
      <c r="Q460" s="6"/>
      <c r="R460" s="6"/>
    </row>
    <row r="461" spans="1:18" x14ac:dyDescent="0.25">
      <c r="A461" s="13"/>
      <c r="B461" s="13"/>
      <c r="C461" s="13"/>
      <c r="D461" s="6"/>
      <c r="E461" s="6"/>
      <c r="F461" s="7"/>
      <c r="G461" s="8" t="e">
        <f>VLOOKUP(F461,'controle saldo'!A$2:N$240,3,FALSE)</f>
        <v>#N/A</v>
      </c>
      <c r="H461" s="7"/>
      <c r="I461" s="9"/>
      <c r="J461" s="10"/>
      <c r="K461" s="6"/>
      <c r="L461" s="6"/>
      <c r="M461" s="11"/>
      <c r="N461" s="12"/>
      <c r="O461" s="13"/>
      <c r="P461" s="6"/>
      <c r="Q461" s="6"/>
      <c r="R461" s="6"/>
    </row>
    <row r="462" spans="1:18" x14ac:dyDescent="0.25">
      <c r="A462" s="13"/>
      <c r="B462" s="13"/>
      <c r="C462" s="13"/>
      <c r="D462" s="6"/>
      <c r="E462" s="6"/>
      <c r="F462" s="7"/>
      <c r="G462" s="8" t="e">
        <f>VLOOKUP(F462,'controle saldo'!A$2:N$240,3,FALSE)</f>
        <v>#N/A</v>
      </c>
      <c r="H462" s="7"/>
      <c r="I462" s="9"/>
      <c r="J462" s="10"/>
      <c r="K462" s="6"/>
      <c r="L462" s="6"/>
      <c r="M462" s="11"/>
      <c r="N462" s="12"/>
      <c r="O462" s="13"/>
      <c r="P462" s="6"/>
      <c r="Q462" s="6"/>
      <c r="R462" s="6"/>
    </row>
    <row r="463" spans="1:18" x14ac:dyDescent="0.25">
      <c r="A463" s="13"/>
      <c r="B463" s="13"/>
      <c r="C463" s="13"/>
      <c r="D463" s="6"/>
      <c r="E463" s="6"/>
      <c r="F463" s="7"/>
      <c r="G463" s="8" t="e">
        <f>VLOOKUP(F463,'controle saldo'!A$2:N$240,3,FALSE)</f>
        <v>#N/A</v>
      </c>
      <c r="H463" s="7"/>
      <c r="I463" s="9"/>
      <c r="J463" s="10"/>
      <c r="K463" s="6"/>
      <c r="L463" s="6"/>
      <c r="M463" s="11"/>
      <c r="N463" s="12"/>
      <c r="O463" s="13"/>
      <c r="P463" s="6"/>
      <c r="Q463" s="6"/>
      <c r="R463" s="6"/>
    </row>
    <row r="464" spans="1:18" x14ac:dyDescent="0.25">
      <c r="A464" s="13"/>
      <c r="B464" s="13"/>
      <c r="C464" s="13"/>
      <c r="D464" s="6"/>
      <c r="E464" s="6"/>
      <c r="F464" s="7"/>
      <c r="G464" s="8" t="e">
        <f>VLOOKUP(F464,'controle saldo'!A$2:N$240,3,FALSE)</f>
        <v>#N/A</v>
      </c>
      <c r="H464" s="7"/>
      <c r="I464" s="9"/>
      <c r="J464" s="10"/>
      <c r="K464" s="6"/>
      <c r="L464" s="6"/>
      <c r="M464" s="11"/>
      <c r="N464" s="12"/>
      <c r="O464" s="13"/>
      <c r="P464" s="6"/>
      <c r="Q464" s="6"/>
      <c r="R464" s="6"/>
    </row>
    <row r="465" spans="1:18" x14ac:dyDescent="0.25">
      <c r="A465" s="13"/>
      <c r="B465" s="13"/>
      <c r="C465" s="13"/>
      <c r="D465" s="6"/>
      <c r="E465" s="6"/>
      <c r="F465" s="7"/>
      <c r="G465" s="8" t="e">
        <f>VLOOKUP(F465,'controle saldo'!A$2:N$240,3,FALSE)</f>
        <v>#N/A</v>
      </c>
      <c r="H465" s="7"/>
      <c r="I465" s="9"/>
      <c r="J465" s="10"/>
      <c r="K465" s="6"/>
      <c r="L465" s="6"/>
      <c r="M465" s="11"/>
      <c r="N465" s="12"/>
      <c r="O465" s="13"/>
      <c r="P465" s="6"/>
      <c r="Q465" s="6"/>
      <c r="R465" s="6"/>
    </row>
    <row r="466" spans="1:18" x14ac:dyDescent="0.25">
      <c r="A466" s="13"/>
      <c r="B466" s="13"/>
      <c r="C466" s="13"/>
      <c r="D466" s="6"/>
      <c r="E466" s="6"/>
      <c r="F466" s="7"/>
      <c r="G466" s="8" t="e">
        <f>VLOOKUP(F466,'controle saldo'!A$2:N$240,3,FALSE)</f>
        <v>#N/A</v>
      </c>
      <c r="H466" s="7"/>
      <c r="I466" s="9"/>
      <c r="J466" s="10"/>
      <c r="K466" s="6"/>
      <c r="L466" s="6"/>
      <c r="M466" s="11"/>
      <c r="N466" s="12"/>
      <c r="O466" s="13"/>
      <c r="P466" s="6"/>
      <c r="Q466" s="6"/>
      <c r="R466" s="6"/>
    </row>
    <row r="467" spans="1:18" x14ac:dyDescent="0.25">
      <c r="A467" s="13"/>
      <c r="B467" s="13"/>
      <c r="C467" s="13"/>
      <c r="D467" s="6"/>
      <c r="E467" s="6"/>
      <c r="F467" s="7"/>
      <c r="G467" s="8" t="e">
        <f>VLOOKUP(F467,'controle saldo'!A$2:N$240,3,FALSE)</f>
        <v>#N/A</v>
      </c>
      <c r="H467" s="7"/>
      <c r="I467" s="9"/>
      <c r="J467" s="10"/>
      <c r="K467" s="6"/>
      <c r="L467" s="6"/>
      <c r="M467" s="11"/>
      <c r="N467" s="12"/>
      <c r="O467" s="13"/>
      <c r="P467" s="6"/>
      <c r="Q467" s="6"/>
      <c r="R467" s="6"/>
    </row>
    <row r="468" spans="1:18" x14ac:dyDescent="0.25">
      <c r="A468" s="13"/>
      <c r="B468" s="13"/>
      <c r="C468" s="13"/>
      <c r="D468" s="6"/>
      <c r="E468" s="6"/>
      <c r="F468" s="7"/>
      <c r="G468" s="8" t="e">
        <f>VLOOKUP(F468,'controle saldo'!A$2:N$240,3,FALSE)</f>
        <v>#N/A</v>
      </c>
      <c r="H468" s="7"/>
      <c r="I468" s="9"/>
      <c r="J468" s="10"/>
      <c r="K468" s="6"/>
      <c r="L468" s="6"/>
      <c r="M468" s="11"/>
      <c r="N468" s="12"/>
      <c r="O468" s="13"/>
      <c r="P468" s="6"/>
      <c r="Q468" s="6"/>
      <c r="R468" s="6"/>
    </row>
    <row r="469" spans="1:18" x14ac:dyDescent="0.25">
      <c r="A469" s="13"/>
      <c r="B469" s="13"/>
      <c r="C469" s="13"/>
      <c r="D469" s="6"/>
      <c r="E469" s="6"/>
      <c r="F469" s="7"/>
      <c r="G469" s="8" t="e">
        <f>VLOOKUP(F469,'controle saldo'!A$2:N$240,3,FALSE)</f>
        <v>#N/A</v>
      </c>
      <c r="H469" s="7"/>
      <c r="I469" s="9"/>
      <c r="J469" s="10"/>
      <c r="K469" s="6"/>
      <c r="L469" s="6"/>
      <c r="M469" s="11"/>
      <c r="N469" s="12"/>
      <c r="O469" s="13"/>
      <c r="P469" s="6"/>
      <c r="Q469" s="6"/>
      <c r="R469" s="6"/>
    </row>
    <row r="470" spans="1:18" x14ac:dyDescent="0.25">
      <c r="A470" s="13"/>
      <c r="B470" s="13"/>
      <c r="C470" s="13"/>
      <c r="D470" s="6"/>
      <c r="E470" s="6"/>
      <c r="F470" s="7"/>
      <c r="G470" s="8" t="e">
        <f>VLOOKUP(F470,'controle saldo'!A$2:N$240,3,FALSE)</f>
        <v>#N/A</v>
      </c>
      <c r="H470" s="7"/>
      <c r="I470" s="9"/>
      <c r="J470" s="10"/>
      <c r="K470" s="6"/>
      <c r="L470" s="6"/>
      <c r="M470" s="11"/>
      <c r="N470" s="12"/>
      <c r="O470" s="13"/>
      <c r="P470" s="6"/>
      <c r="Q470" s="6"/>
      <c r="R470" s="6"/>
    </row>
  </sheetData>
  <sheetProtection algorithmName="SHA-512" hashValue="o3t/PLk1k0KD7PlmHoH7eGiBYWMJLddzy/zykZm0MH2TjDueulkaIvUYXlHx0+N/DDxN188JyysbxSkwdZMNxg==" saltValue="WX7wOXcEVllmDWUShL+VEg==" spinCount="100000" sheet="1" objects="1" scenarios="1" selectLockedCells="1"/>
  <autoFilter ref="A1:R47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E1"/>
    </sheetView>
  </sheetViews>
  <sheetFormatPr defaultRowHeight="15" x14ac:dyDescent="0.25"/>
  <cols>
    <col min="1" max="5" width="19.5703125" customWidth="1"/>
  </cols>
  <sheetData>
    <row r="1" spans="1:6" ht="23.25" x14ac:dyDescent="0.25">
      <c r="A1" s="216" t="s">
        <v>612</v>
      </c>
      <c r="B1" s="217"/>
      <c r="C1" s="217"/>
      <c r="D1" s="217"/>
      <c r="E1" s="217"/>
      <c r="F1" s="142"/>
    </row>
    <row r="2" spans="1:6" ht="18.75" x14ac:dyDescent="0.25">
      <c r="A2" s="218" t="s">
        <v>613</v>
      </c>
      <c r="B2" s="218"/>
      <c r="C2" s="218"/>
      <c r="D2" s="218"/>
      <c r="E2" s="218"/>
      <c r="F2" s="142"/>
    </row>
  </sheetData>
  <sheetProtection algorithmName="SHA-512" hashValue="ah7KkW7/ie+NT+C/Thiyn9WSf7oGwsVio5YrIzM0H9LikQJnbJIRGFjT/LKkwtwKI7qf4pFJuZ2bdlZ38pgRiA==" saltValue="/DBI1ZFlLAPyqxY8KYg9N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26.28515625" style="122" customWidth="1"/>
    <col min="6" max="6" width="16.7109375" customWidth="1"/>
    <col min="7" max="7" width="18.140625" customWidth="1"/>
    <col min="8" max="8" width="16.42578125" customWidth="1"/>
  </cols>
  <sheetData>
    <row r="1" spans="1:5" ht="15.75" thickBot="1" x14ac:dyDescent="0.3">
      <c r="A1" s="119" t="s">
        <v>632</v>
      </c>
      <c r="B1" s="120"/>
    </row>
    <row r="2" spans="1:5" ht="16.5" thickTop="1" thickBot="1" x14ac:dyDescent="0.3">
      <c r="A2" s="138" t="s">
        <v>0</v>
      </c>
      <c r="B2" s="123">
        <v>100070</v>
      </c>
    </row>
    <row r="3" spans="1:5" ht="33.75" customHeight="1" thickTop="1" thickBot="1" x14ac:dyDescent="0.3">
      <c r="B3" s="163"/>
    </row>
    <row r="4" spans="1:5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</row>
    <row r="5" spans="1:5" ht="30.75" thickTop="1" x14ac:dyDescent="0.25">
      <c r="A5" s="126" t="s">
        <v>387</v>
      </c>
      <c r="B5" s="127" t="s">
        <v>625</v>
      </c>
      <c r="C5" s="127" t="s">
        <v>603</v>
      </c>
      <c r="D5" s="128">
        <v>43241</v>
      </c>
      <c r="E5" s="129">
        <v>480</v>
      </c>
    </row>
    <row r="6" spans="1:5" x14ac:dyDescent="0.25">
      <c r="A6" s="126" t="s">
        <v>394</v>
      </c>
      <c r="B6" s="127" t="s">
        <v>593</v>
      </c>
      <c r="C6" s="127" t="s">
        <v>603</v>
      </c>
      <c r="D6" s="128">
        <v>43000</v>
      </c>
      <c r="E6" s="131">
        <v>300</v>
      </c>
    </row>
    <row r="7" spans="1:5" ht="30" x14ac:dyDescent="0.25">
      <c r="A7" s="126" t="s">
        <v>396</v>
      </c>
      <c r="B7" s="127" t="s">
        <v>593</v>
      </c>
      <c r="C7" s="127" t="s">
        <v>603</v>
      </c>
      <c r="D7" s="128">
        <v>43000</v>
      </c>
      <c r="E7" s="131">
        <v>3740</v>
      </c>
    </row>
    <row r="8" spans="1:5" x14ac:dyDescent="0.25">
      <c r="A8" s="126" t="s">
        <v>402</v>
      </c>
      <c r="B8" s="127" t="s">
        <v>594</v>
      </c>
      <c r="C8" s="127" t="s">
        <v>603</v>
      </c>
      <c r="D8" s="128">
        <v>43000</v>
      </c>
      <c r="E8" s="131">
        <v>700</v>
      </c>
    </row>
    <row r="9" spans="1:5" x14ac:dyDescent="0.25">
      <c r="A9" s="126" t="s">
        <v>410</v>
      </c>
      <c r="B9" s="127" t="s">
        <v>593</v>
      </c>
      <c r="C9" s="127" t="s">
        <v>603</v>
      </c>
      <c r="D9" s="128">
        <v>43000</v>
      </c>
      <c r="E9" s="131">
        <v>59.5</v>
      </c>
    </row>
    <row r="10" spans="1:5" x14ac:dyDescent="0.25">
      <c r="A10" s="126" t="s">
        <v>410</v>
      </c>
      <c r="B10" s="127" t="s">
        <v>625</v>
      </c>
      <c r="C10" s="127" t="s">
        <v>603</v>
      </c>
      <c r="D10" s="128">
        <v>43241</v>
      </c>
      <c r="E10" s="131">
        <v>297.5</v>
      </c>
    </row>
    <row r="11" spans="1:5" x14ac:dyDescent="0.25">
      <c r="A11" s="126" t="s">
        <v>411</v>
      </c>
      <c r="B11" s="127" t="s">
        <v>594</v>
      </c>
      <c r="C11" s="127" t="s">
        <v>603</v>
      </c>
      <c r="D11" s="128">
        <v>43000</v>
      </c>
      <c r="E11" s="131">
        <v>24.150000000000002</v>
      </c>
    </row>
    <row r="12" spans="1:5" x14ac:dyDescent="0.25">
      <c r="A12" s="126" t="s">
        <v>411</v>
      </c>
      <c r="B12" s="127" t="s">
        <v>625</v>
      </c>
      <c r="C12" s="127" t="s">
        <v>603</v>
      </c>
      <c r="D12" s="128">
        <v>43241</v>
      </c>
      <c r="E12" s="131">
        <v>16.100000000000001</v>
      </c>
    </row>
    <row r="13" spans="1:5" x14ac:dyDescent="0.25">
      <c r="A13" s="126" t="s">
        <v>418</v>
      </c>
      <c r="B13" s="127" t="s">
        <v>594</v>
      </c>
      <c r="C13" s="127" t="s">
        <v>603</v>
      </c>
      <c r="D13" s="128">
        <v>43000</v>
      </c>
      <c r="E13" s="131">
        <v>1123</v>
      </c>
    </row>
    <row r="14" spans="1:5" ht="30" x14ac:dyDescent="0.25">
      <c r="A14" s="126" t="s">
        <v>416</v>
      </c>
      <c r="B14" s="127" t="s">
        <v>592</v>
      </c>
      <c r="C14" s="127" t="s">
        <v>604</v>
      </c>
      <c r="D14" s="128">
        <v>43000</v>
      </c>
      <c r="E14" s="131">
        <v>302.40000000000003</v>
      </c>
    </row>
    <row r="15" spans="1:5" x14ac:dyDescent="0.25">
      <c r="A15" s="126" t="s">
        <v>426</v>
      </c>
      <c r="B15" s="127" t="s">
        <v>593</v>
      </c>
      <c r="C15" s="127" t="s">
        <v>603</v>
      </c>
      <c r="D15" s="128">
        <v>43000</v>
      </c>
      <c r="E15" s="131">
        <v>36</v>
      </c>
    </row>
    <row r="16" spans="1:5" x14ac:dyDescent="0.25">
      <c r="A16" s="126" t="s">
        <v>426</v>
      </c>
      <c r="B16" s="127" t="s">
        <v>625</v>
      </c>
      <c r="C16" s="127" t="s">
        <v>603</v>
      </c>
      <c r="D16" s="128">
        <v>43241</v>
      </c>
      <c r="E16" s="131">
        <v>108</v>
      </c>
    </row>
    <row r="17" spans="1:5" x14ac:dyDescent="0.25">
      <c r="A17" s="126" t="s">
        <v>421</v>
      </c>
      <c r="B17" s="127" t="s">
        <v>593</v>
      </c>
      <c r="C17" s="127" t="s">
        <v>603</v>
      </c>
      <c r="D17" s="128">
        <v>43000</v>
      </c>
      <c r="E17" s="131">
        <v>5.5</v>
      </c>
    </row>
    <row r="18" spans="1:5" x14ac:dyDescent="0.25">
      <c r="A18" s="126" t="s">
        <v>421</v>
      </c>
      <c r="B18" s="127" t="s">
        <v>625</v>
      </c>
      <c r="C18" s="127" t="s">
        <v>603</v>
      </c>
      <c r="D18" s="128">
        <v>43241</v>
      </c>
      <c r="E18" s="131">
        <v>5.5</v>
      </c>
    </row>
    <row r="19" spans="1:5" ht="30" x14ac:dyDescent="0.25">
      <c r="A19" s="126" t="s">
        <v>420</v>
      </c>
      <c r="B19" s="127" t="s">
        <v>593</v>
      </c>
      <c r="C19" s="127" t="s">
        <v>603</v>
      </c>
      <c r="D19" s="128">
        <v>43000</v>
      </c>
      <c r="E19" s="131">
        <v>81</v>
      </c>
    </row>
    <row r="20" spans="1:5" ht="30" x14ac:dyDescent="0.25">
      <c r="A20" s="126" t="s">
        <v>420</v>
      </c>
      <c r="B20" s="127" t="s">
        <v>625</v>
      </c>
      <c r="C20" s="127" t="s">
        <v>603</v>
      </c>
      <c r="D20" s="128">
        <v>43241</v>
      </c>
      <c r="E20" s="131">
        <v>40.5</v>
      </c>
    </row>
    <row r="21" spans="1:5" ht="30" x14ac:dyDescent="0.25">
      <c r="A21" s="126" t="s">
        <v>437</v>
      </c>
      <c r="B21" s="127" t="s">
        <v>592</v>
      </c>
      <c r="C21" s="127" t="s">
        <v>604</v>
      </c>
      <c r="D21" s="128">
        <v>43000</v>
      </c>
      <c r="E21" s="131">
        <v>50</v>
      </c>
    </row>
    <row r="22" spans="1:5" x14ac:dyDescent="0.25">
      <c r="A22" s="126" t="s">
        <v>435</v>
      </c>
      <c r="B22" s="127" t="s">
        <v>625</v>
      </c>
      <c r="C22" s="127" t="s">
        <v>603</v>
      </c>
      <c r="D22" s="128">
        <v>43241</v>
      </c>
      <c r="E22" s="131">
        <v>194</v>
      </c>
    </row>
    <row r="23" spans="1:5" ht="30" x14ac:dyDescent="0.25">
      <c r="A23" s="126" t="s">
        <v>440</v>
      </c>
      <c r="B23" s="127" t="s">
        <v>625</v>
      </c>
      <c r="C23" s="127" t="s">
        <v>603</v>
      </c>
      <c r="D23" s="128">
        <v>43241</v>
      </c>
      <c r="E23" s="131">
        <v>56.999999999999993</v>
      </c>
    </row>
    <row r="24" spans="1:5" ht="30" x14ac:dyDescent="0.25">
      <c r="A24" s="126" t="s">
        <v>447</v>
      </c>
      <c r="B24" s="127" t="s">
        <v>625</v>
      </c>
      <c r="C24" s="127" t="s">
        <v>603</v>
      </c>
      <c r="D24" s="128">
        <v>43241</v>
      </c>
      <c r="E24" s="131">
        <v>1237.5</v>
      </c>
    </row>
    <row r="25" spans="1:5" ht="30" x14ac:dyDescent="0.25">
      <c r="A25" s="126" t="s">
        <v>448</v>
      </c>
      <c r="B25" s="127" t="s">
        <v>592</v>
      </c>
      <c r="C25" s="127" t="s">
        <v>604</v>
      </c>
      <c r="D25" s="128">
        <v>43000</v>
      </c>
      <c r="E25" s="131">
        <v>71</v>
      </c>
    </row>
    <row r="26" spans="1:5" x14ac:dyDescent="0.25">
      <c r="A26" s="126" t="s">
        <v>451</v>
      </c>
      <c r="B26" s="127" t="s">
        <v>595</v>
      </c>
      <c r="C26" s="127" t="s">
        <v>603</v>
      </c>
      <c r="D26" s="128">
        <v>43000</v>
      </c>
      <c r="E26" s="131">
        <v>70</v>
      </c>
    </row>
    <row r="27" spans="1:5" x14ac:dyDescent="0.25">
      <c r="A27" s="126" t="s">
        <v>451</v>
      </c>
      <c r="B27" s="127" t="s">
        <v>625</v>
      </c>
      <c r="C27" s="127" t="s">
        <v>603</v>
      </c>
      <c r="D27" s="128">
        <v>43241</v>
      </c>
      <c r="E27" s="131">
        <v>70</v>
      </c>
    </row>
    <row r="28" spans="1:5" ht="30" x14ac:dyDescent="0.25">
      <c r="A28" s="126" t="s">
        <v>453</v>
      </c>
      <c r="B28" s="127" t="s">
        <v>595</v>
      </c>
      <c r="C28" s="127" t="s">
        <v>603</v>
      </c>
      <c r="D28" s="128">
        <v>43000</v>
      </c>
      <c r="E28" s="131">
        <v>210</v>
      </c>
    </row>
    <row r="29" spans="1:5" ht="30" x14ac:dyDescent="0.25">
      <c r="A29" s="126" t="s">
        <v>453</v>
      </c>
      <c r="B29" s="127" t="s">
        <v>625</v>
      </c>
      <c r="C29" s="127" t="s">
        <v>603</v>
      </c>
      <c r="D29" s="128">
        <v>43241</v>
      </c>
      <c r="E29" s="131">
        <v>350</v>
      </c>
    </row>
    <row r="30" spans="1:5" ht="30" x14ac:dyDescent="0.25">
      <c r="A30" s="126" t="s">
        <v>463</v>
      </c>
      <c r="B30" s="127" t="s">
        <v>594</v>
      </c>
      <c r="C30" s="127" t="s">
        <v>603</v>
      </c>
      <c r="D30" s="128">
        <v>43000</v>
      </c>
      <c r="E30" s="131">
        <v>73</v>
      </c>
    </row>
    <row r="31" spans="1:5" x14ac:dyDescent="0.25">
      <c r="A31" s="126" t="s">
        <v>466</v>
      </c>
      <c r="B31" s="127" t="s">
        <v>595</v>
      </c>
      <c r="C31" s="127" t="s">
        <v>603</v>
      </c>
      <c r="D31" s="128">
        <v>43000</v>
      </c>
      <c r="E31" s="131">
        <v>86</v>
      </c>
    </row>
    <row r="32" spans="1:5" x14ac:dyDescent="0.25">
      <c r="A32" s="126" t="s">
        <v>466</v>
      </c>
      <c r="B32" s="127" t="s">
        <v>625</v>
      </c>
      <c r="C32" s="127" t="s">
        <v>603</v>
      </c>
      <c r="D32" s="128">
        <v>43241</v>
      </c>
      <c r="E32" s="131">
        <v>172</v>
      </c>
    </row>
    <row r="33" spans="1:5" ht="30" x14ac:dyDescent="0.25">
      <c r="A33" s="126" t="s">
        <v>467</v>
      </c>
      <c r="B33" s="127" t="s">
        <v>595</v>
      </c>
      <c r="C33" s="127" t="s">
        <v>603</v>
      </c>
      <c r="D33" s="128">
        <v>43000</v>
      </c>
      <c r="E33" s="131">
        <v>1300</v>
      </c>
    </row>
    <row r="34" spans="1:5" ht="30" x14ac:dyDescent="0.25">
      <c r="A34" s="126" t="s">
        <v>480</v>
      </c>
      <c r="B34" s="127" t="s">
        <v>594</v>
      </c>
      <c r="C34" s="127" t="s">
        <v>603</v>
      </c>
      <c r="D34" s="128">
        <v>43000</v>
      </c>
      <c r="E34" s="131">
        <v>10.700000000000001</v>
      </c>
    </row>
    <row r="35" spans="1:5" ht="30" x14ac:dyDescent="0.25">
      <c r="A35" s="126" t="s">
        <v>480</v>
      </c>
      <c r="B35" s="127" t="s">
        <v>625</v>
      </c>
      <c r="C35" s="127" t="s">
        <v>603</v>
      </c>
      <c r="D35" s="128">
        <v>43241</v>
      </c>
      <c r="E35" s="131">
        <v>53.5</v>
      </c>
    </row>
    <row r="36" spans="1:5" x14ac:dyDescent="0.25">
      <c r="A36" s="126" t="s">
        <v>484</v>
      </c>
      <c r="B36" s="127" t="s">
        <v>593</v>
      </c>
      <c r="C36" s="127" t="s">
        <v>603</v>
      </c>
      <c r="D36" s="128">
        <v>43000</v>
      </c>
      <c r="E36" s="131">
        <v>2000</v>
      </c>
    </row>
    <row r="37" spans="1:5" ht="30" x14ac:dyDescent="0.25">
      <c r="A37" s="126" t="s">
        <v>485</v>
      </c>
      <c r="B37" s="127" t="s">
        <v>592</v>
      </c>
      <c r="C37" s="127" t="s">
        <v>604</v>
      </c>
      <c r="D37" s="128">
        <v>43000</v>
      </c>
      <c r="E37" s="131">
        <v>20.9</v>
      </c>
    </row>
    <row r="38" spans="1:5" x14ac:dyDescent="0.25">
      <c r="A38" s="126" t="s">
        <v>486</v>
      </c>
      <c r="B38" s="127" t="s">
        <v>594</v>
      </c>
      <c r="C38" s="127" t="s">
        <v>603</v>
      </c>
      <c r="D38" s="128">
        <v>43000</v>
      </c>
      <c r="E38" s="131">
        <v>196</v>
      </c>
    </row>
    <row r="39" spans="1:5" x14ac:dyDescent="0.25">
      <c r="A39" s="126" t="s">
        <v>486</v>
      </c>
      <c r="B39" s="127" t="s">
        <v>625</v>
      </c>
      <c r="C39" s="127" t="s">
        <v>603</v>
      </c>
      <c r="D39" s="128">
        <v>43241</v>
      </c>
      <c r="E39" s="131">
        <v>196</v>
      </c>
    </row>
    <row r="40" spans="1:5" ht="45" x14ac:dyDescent="0.25">
      <c r="A40" s="126" t="s">
        <v>553</v>
      </c>
      <c r="B40" s="127" t="s">
        <v>591</v>
      </c>
      <c r="C40" s="127" t="s">
        <v>603</v>
      </c>
      <c r="D40" s="128">
        <v>43000</v>
      </c>
      <c r="E40" s="131">
        <v>1260</v>
      </c>
    </row>
    <row r="41" spans="1:5" ht="30" x14ac:dyDescent="0.25">
      <c r="A41" s="126" t="s">
        <v>491</v>
      </c>
      <c r="B41" s="127" t="s">
        <v>625</v>
      </c>
      <c r="C41" s="127" t="s">
        <v>603</v>
      </c>
      <c r="D41" s="128">
        <v>43241</v>
      </c>
      <c r="E41" s="131">
        <v>330</v>
      </c>
    </row>
    <row r="42" spans="1:5" ht="30" x14ac:dyDescent="0.25">
      <c r="A42" s="126" t="s">
        <v>495</v>
      </c>
      <c r="B42" s="127" t="s">
        <v>625</v>
      </c>
      <c r="C42" s="127" t="s">
        <v>603</v>
      </c>
      <c r="D42" s="128">
        <v>43241</v>
      </c>
      <c r="E42" s="131">
        <v>64.599999999999994</v>
      </c>
    </row>
    <row r="43" spans="1:5" x14ac:dyDescent="0.25">
      <c r="A43" s="126" t="s">
        <v>499</v>
      </c>
      <c r="B43" s="127" t="s">
        <v>594</v>
      </c>
      <c r="C43" s="127" t="s">
        <v>603</v>
      </c>
      <c r="D43" s="128">
        <v>43000</v>
      </c>
      <c r="E43" s="131">
        <v>131</v>
      </c>
    </row>
    <row r="44" spans="1:5" x14ac:dyDescent="0.25">
      <c r="A44" s="126" t="s">
        <v>503</v>
      </c>
      <c r="B44" s="127" t="s">
        <v>594</v>
      </c>
      <c r="C44" s="127" t="s">
        <v>603</v>
      </c>
      <c r="D44" s="128">
        <v>43000</v>
      </c>
      <c r="E44" s="131">
        <v>105.3</v>
      </c>
    </row>
    <row r="45" spans="1:5" x14ac:dyDescent="0.25">
      <c r="A45" s="126" t="s">
        <v>503</v>
      </c>
      <c r="B45" s="127" t="s">
        <v>625</v>
      </c>
      <c r="C45" s="127" t="s">
        <v>603</v>
      </c>
      <c r="D45" s="128">
        <v>43241</v>
      </c>
      <c r="E45" s="131">
        <v>40.949999999999996</v>
      </c>
    </row>
    <row r="46" spans="1:5" ht="30" x14ac:dyDescent="0.25">
      <c r="A46" s="126" t="s">
        <v>506</v>
      </c>
      <c r="B46" s="127" t="s">
        <v>592</v>
      </c>
      <c r="C46" s="127" t="s">
        <v>604</v>
      </c>
      <c r="D46" s="128">
        <v>43000</v>
      </c>
      <c r="E46" s="131">
        <v>267</v>
      </c>
    </row>
    <row r="47" spans="1:5" ht="30" x14ac:dyDescent="0.25">
      <c r="A47" s="126" t="s">
        <v>507</v>
      </c>
      <c r="B47" s="127" t="s">
        <v>593</v>
      </c>
      <c r="C47" s="127" t="s">
        <v>603</v>
      </c>
      <c r="D47" s="128">
        <v>43000</v>
      </c>
      <c r="E47" s="131">
        <v>35.799999999999997</v>
      </c>
    </row>
    <row r="48" spans="1:5" ht="30" x14ac:dyDescent="0.25">
      <c r="A48" s="126" t="s">
        <v>509</v>
      </c>
      <c r="B48" s="127" t="s">
        <v>593</v>
      </c>
      <c r="C48" s="127" t="s">
        <v>603</v>
      </c>
      <c r="D48" s="128">
        <v>43000</v>
      </c>
      <c r="E48" s="131">
        <v>375</v>
      </c>
    </row>
    <row r="49" spans="1:5" ht="30" x14ac:dyDescent="0.25">
      <c r="A49" s="126" t="s">
        <v>509</v>
      </c>
      <c r="B49" s="127" t="s">
        <v>625</v>
      </c>
      <c r="C49" s="127" t="s">
        <v>603</v>
      </c>
      <c r="D49" s="128">
        <v>43241</v>
      </c>
      <c r="E49" s="131">
        <v>375</v>
      </c>
    </row>
    <row r="50" spans="1:5" ht="30" x14ac:dyDescent="0.25">
      <c r="A50" s="126" t="s">
        <v>515</v>
      </c>
      <c r="B50" s="127" t="s">
        <v>625</v>
      </c>
      <c r="C50" s="127" t="s">
        <v>603</v>
      </c>
      <c r="D50" s="128">
        <v>43241</v>
      </c>
      <c r="E50" s="131">
        <v>690</v>
      </c>
    </row>
    <row r="51" spans="1:5" ht="30" x14ac:dyDescent="0.25">
      <c r="A51" s="126" t="s">
        <v>517</v>
      </c>
      <c r="B51" s="127" t="s">
        <v>592</v>
      </c>
      <c r="C51" s="127" t="s">
        <v>604</v>
      </c>
      <c r="D51" s="128">
        <v>43000</v>
      </c>
      <c r="E51" s="131">
        <v>7.34</v>
      </c>
    </row>
    <row r="52" spans="1:5" ht="30" x14ac:dyDescent="0.25">
      <c r="A52" s="126" t="s">
        <v>519</v>
      </c>
      <c r="B52" s="127" t="s">
        <v>594</v>
      </c>
      <c r="C52" s="127" t="s">
        <v>603</v>
      </c>
      <c r="D52" s="128">
        <v>43000</v>
      </c>
      <c r="E52" s="131">
        <v>250</v>
      </c>
    </row>
    <row r="53" spans="1:5" ht="30" x14ac:dyDescent="0.25">
      <c r="A53" s="126" t="s">
        <v>519</v>
      </c>
      <c r="B53" s="127" t="s">
        <v>625</v>
      </c>
      <c r="C53" s="127" t="s">
        <v>603</v>
      </c>
      <c r="D53" s="128">
        <v>43241</v>
      </c>
      <c r="E53" s="131">
        <v>250</v>
      </c>
    </row>
    <row r="54" spans="1:5" ht="75" x14ac:dyDescent="0.25">
      <c r="A54" s="126" t="s">
        <v>523</v>
      </c>
      <c r="B54" s="127" t="s">
        <v>592</v>
      </c>
      <c r="C54" s="127" t="s">
        <v>604</v>
      </c>
      <c r="D54" s="128">
        <v>43000</v>
      </c>
      <c r="E54" s="131">
        <v>440</v>
      </c>
    </row>
    <row r="55" spans="1:5" ht="30" x14ac:dyDescent="0.25">
      <c r="A55" s="126" t="s">
        <v>547</v>
      </c>
      <c r="B55" s="127" t="s">
        <v>594</v>
      </c>
      <c r="C55" s="127" t="s">
        <v>603</v>
      </c>
      <c r="D55" s="128">
        <v>43000</v>
      </c>
      <c r="E55" s="131">
        <v>62.5</v>
      </c>
    </row>
    <row r="56" spans="1:5" ht="30" x14ac:dyDescent="0.25">
      <c r="A56" s="126" t="s">
        <v>547</v>
      </c>
      <c r="B56" s="127" t="s">
        <v>625</v>
      </c>
      <c r="C56" s="127" t="s">
        <v>603</v>
      </c>
      <c r="D56" s="128">
        <v>43241</v>
      </c>
      <c r="E56" s="131">
        <v>125</v>
      </c>
    </row>
    <row r="57" spans="1:5" ht="30" x14ac:dyDescent="0.25">
      <c r="A57" s="126" t="s">
        <v>527</v>
      </c>
      <c r="B57" s="127" t="s">
        <v>625</v>
      </c>
      <c r="C57" s="127" t="s">
        <v>603</v>
      </c>
      <c r="D57" s="128">
        <v>43241</v>
      </c>
      <c r="E57" s="131">
        <v>151.19999999999999</v>
      </c>
    </row>
    <row r="58" spans="1:5" ht="30" x14ac:dyDescent="0.25">
      <c r="A58" s="126" t="s">
        <v>531</v>
      </c>
      <c r="B58" s="127" t="s">
        <v>592</v>
      </c>
      <c r="C58" s="127" t="s">
        <v>604</v>
      </c>
      <c r="D58" s="128">
        <v>43000</v>
      </c>
      <c r="E58" s="131">
        <v>508</v>
      </c>
    </row>
    <row r="59" spans="1:5" ht="30" x14ac:dyDescent="0.25">
      <c r="A59" s="126" t="s">
        <v>529</v>
      </c>
      <c r="B59" s="127" t="s">
        <v>592</v>
      </c>
      <c r="C59" s="127" t="s">
        <v>604</v>
      </c>
      <c r="D59" s="128">
        <v>43000</v>
      </c>
      <c r="E59" s="131">
        <v>725.5</v>
      </c>
    </row>
    <row r="60" spans="1:5" x14ac:dyDescent="0.25">
      <c r="A60" s="126" t="s">
        <v>378</v>
      </c>
      <c r="B60" s="127" t="s">
        <v>625</v>
      </c>
      <c r="C60" s="127" t="s">
        <v>603</v>
      </c>
      <c r="D60" s="128">
        <v>43241</v>
      </c>
      <c r="E60" s="131">
        <v>179.82</v>
      </c>
    </row>
    <row r="61" spans="1:5" x14ac:dyDescent="0.25">
      <c r="A61" s="126" t="s">
        <v>384</v>
      </c>
      <c r="B61" s="127" t="s">
        <v>625</v>
      </c>
      <c r="C61" s="127" t="s">
        <v>603</v>
      </c>
      <c r="D61" s="128">
        <v>43241</v>
      </c>
      <c r="E61" s="131">
        <v>35.840000000000003</v>
      </c>
    </row>
    <row r="62" spans="1:5" ht="30" x14ac:dyDescent="0.25">
      <c r="A62" s="126" t="s">
        <v>390</v>
      </c>
      <c r="B62" s="127" t="s">
        <v>625</v>
      </c>
      <c r="C62" s="127" t="s">
        <v>603</v>
      </c>
      <c r="D62" s="128">
        <v>43241</v>
      </c>
      <c r="E62" s="131">
        <v>60</v>
      </c>
    </row>
    <row r="63" spans="1:5" x14ac:dyDescent="0.25">
      <c r="A63" s="126" t="s">
        <v>392</v>
      </c>
      <c r="B63" s="127" t="s">
        <v>625</v>
      </c>
      <c r="C63" s="127" t="s">
        <v>603</v>
      </c>
      <c r="D63" s="128">
        <v>43241</v>
      </c>
      <c r="E63" s="131">
        <v>40.199999999999996</v>
      </c>
    </row>
    <row r="64" spans="1:5" ht="30" x14ac:dyDescent="0.25">
      <c r="A64" s="126" t="s">
        <v>434</v>
      </c>
      <c r="B64" s="127" t="s">
        <v>625</v>
      </c>
      <c r="C64" s="127" t="s">
        <v>603</v>
      </c>
      <c r="D64" s="128">
        <v>43241</v>
      </c>
      <c r="E64" s="131">
        <v>54</v>
      </c>
    </row>
    <row r="65" spans="1:5" ht="30" x14ac:dyDescent="0.25">
      <c r="A65" s="126" t="s">
        <v>445</v>
      </c>
      <c r="B65" s="127" t="s">
        <v>625</v>
      </c>
      <c r="C65" s="127" t="s">
        <v>603</v>
      </c>
      <c r="D65" s="128">
        <v>43241</v>
      </c>
      <c r="E65" s="131">
        <v>600</v>
      </c>
    </row>
    <row r="66" spans="1:5" ht="30" x14ac:dyDescent="0.25">
      <c r="A66" s="126" t="s">
        <v>449</v>
      </c>
      <c r="B66" s="127" t="s">
        <v>625</v>
      </c>
      <c r="C66" s="127" t="s">
        <v>603</v>
      </c>
      <c r="D66" s="128">
        <v>43241</v>
      </c>
      <c r="E66" s="131">
        <v>17.7</v>
      </c>
    </row>
    <row r="67" spans="1:5" ht="30" x14ac:dyDescent="0.25">
      <c r="A67" s="126" t="s">
        <v>459</v>
      </c>
      <c r="B67" s="127" t="s">
        <v>625</v>
      </c>
      <c r="C67" s="127" t="s">
        <v>603</v>
      </c>
      <c r="D67" s="128">
        <v>43241</v>
      </c>
      <c r="E67" s="131">
        <v>34.300000000000004</v>
      </c>
    </row>
    <row r="68" spans="1:5" ht="30" x14ac:dyDescent="0.25">
      <c r="A68" s="126" t="s">
        <v>471</v>
      </c>
      <c r="B68" s="127" t="s">
        <v>625</v>
      </c>
      <c r="C68" s="127" t="s">
        <v>603</v>
      </c>
      <c r="D68" s="128">
        <v>43241</v>
      </c>
      <c r="E68" s="131">
        <v>145.9</v>
      </c>
    </row>
    <row r="69" spans="1:5" ht="30" x14ac:dyDescent="0.25">
      <c r="A69" s="126" t="s">
        <v>474</v>
      </c>
      <c r="B69" s="127" t="s">
        <v>625</v>
      </c>
      <c r="C69" s="127" t="s">
        <v>603</v>
      </c>
      <c r="D69" s="128">
        <v>43241</v>
      </c>
      <c r="E69" s="131">
        <v>584</v>
      </c>
    </row>
    <row r="70" spans="1:5" ht="30" x14ac:dyDescent="0.25">
      <c r="A70" s="126" t="s">
        <v>483</v>
      </c>
      <c r="B70" s="127" t="s">
        <v>625</v>
      </c>
      <c r="C70" s="127" t="s">
        <v>603</v>
      </c>
      <c r="D70" s="128">
        <v>43241</v>
      </c>
      <c r="E70" s="131">
        <v>23</v>
      </c>
    </row>
    <row r="71" spans="1:5" ht="15.75" thickBot="1" x14ac:dyDescent="0.3">
      <c r="A71" s="126" t="s">
        <v>542</v>
      </c>
      <c r="B71" s="127" t="s">
        <v>625</v>
      </c>
      <c r="C71" s="127" t="s">
        <v>603</v>
      </c>
      <c r="D71" s="128">
        <v>43241</v>
      </c>
      <c r="E71" s="131">
        <v>122</v>
      </c>
    </row>
    <row r="72" spans="1:5" ht="16.5" thickTop="1" thickBot="1" x14ac:dyDescent="0.3">
      <c r="A72" s="134" t="s">
        <v>611</v>
      </c>
      <c r="B72" s="135"/>
      <c r="C72" s="135"/>
      <c r="D72" s="136"/>
      <c r="E72" s="137">
        <v>21827.700000000004</v>
      </c>
    </row>
    <row r="73" spans="1:5" ht="15.75" thickTop="1" x14ac:dyDescent="0.25">
      <c r="B73"/>
      <c r="C73"/>
      <c r="D73"/>
      <c r="E73"/>
    </row>
    <row r="74" spans="1:5" x14ac:dyDescent="0.25">
      <c r="B74"/>
      <c r="C74"/>
      <c r="D74"/>
      <c r="E74"/>
    </row>
    <row r="75" spans="1:5" x14ac:dyDescent="0.25">
      <c r="B75"/>
      <c r="C75"/>
      <c r="D75"/>
      <c r="E75"/>
    </row>
    <row r="76" spans="1:5" x14ac:dyDescent="0.25">
      <c r="B76"/>
      <c r="C76"/>
      <c r="D76"/>
      <c r="E76"/>
    </row>
    <row r="77" spans="1:5" x14ac:dyDescent="0.25">
      <c r="B77"/>
      <c r="C77"/>
      <c r="D77"/>
      <c r="E77"/>
    </row>
    <row r="78" spans="1:5" x14ac:dyDescent="0.25">
      <c r="B78"/>
      <c r="C78"/>
      <c r="D78"/>
      <c r="E78"/>
    </row>
    <row r="79" spans="1:5" x14ac:dyDescent="0.25">
      <c r="B79"/>
      <c r="C79"/>
      <c r="D79"/>
      <c r="E79"/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</sheetData>
  <sheetProtection algorithmName="SHA-512" hashValue="/RiGTpeOYPLaG1s8/DVWd161IKVXsowGk4r2KhVkFb+VpLQY3ELYVTxO8uzM7ON5jYR7x87Raw4a75HI4Gn9RA==" saltValue="ER6JQTSUoXcOboNK16ulk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626</v>
      </c>
      <c r="B1" s="120"/>
      <c r="G1" s="219"/>
    </row>
    <row r="2" spans="1:15" ht="16.5" thickTop="1" thickBot="1" x14ac:dyDescent="0.3">
      <c r="A2" s="138" t="s">
        <v>0</v>
      </c>
      <c r="B2" s="123">
        <v>100500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30.75" thickTop="1" x14ac:dyDescent="0.25">
      <c r="A5" s="126" t="s">
        <v>420</v>
      </c>
      <c r="B5" s="127" t="s">
        <v>601</v>
      </c>
      <c r="C5" s="127" t="s">
        <v>603</v>
      </c>
      <c r="D5" s="128">
        <v>43000</v>
      </c>
      <c r="E5" s="129">
        <v>656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461</v>
      </c>
      <c r="B6" s="127" t="s">
        <v>596</v>
      </c>
      <c r="C6" s="127" t="s">
        <v>624</v>
      </c>
      <c r="D6" s="128">
        <v>43000</v>
      </c>
      <c r="E6" s="131">
        <v>180</v>
      </c>
      <c r="F6"/>
      <c r="G6"/>
      <c r="H6"/>
      <c r="I6"/>
      <c r="J6"/>
      <c r="K6"/>
      <c r="L6"/>
      <c r="M6"/>
      <c r="N6"/>
      <c r="O6"/>
    </row>
    <row r="7" spans="1:15" s="130" customFormat="1" x14ac:dyDescent="0.25">
      <c r="A7" s="126" t="s">
        <v>486</v>
      </c>
      <c r="B7" s="127" t="s">
        <v>599</v>
      </c>
      <c r="C7" s="127" t="s">
        <v>603</v>
      </c>
      <c r="D7" s="128">
        <v>43000</v>
      </c>
      <c r="E7" s="131">
        <v>221.4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527</v>
      </c>
      <c r="B8" s="127" t="s">
        <v>599</v>
      </c>
      <c r="C8" s="127" t="s">
        <v>603</v>
      </c>
      <c r="D8" s="128">
        <v>43000</v>
      </c>
      <c r="E8" s="131">
        <v>201.6</v>
      </c>
      <c r="F8"/>
      <c r="G8"/>
      <c r="H8"/>
      <c r="I8"/>
      <c r="J8"/>
      <c r="K8"/>
      <c r="L8"/>
      <c r="M8"/>
      <c r="N8"/>
      <c r="O8"/>
    </row>
    <row r="9" spans="1:15" s="132" customFormat="1" ht="15.75" thickBot="1" x14ac:dyDescent="0.3">
      <c r="A9" s="126" t="s">
        <v>537</v>
      </c>
      <c r="B9" s="127" t="s">
        <v>599</v>
      </c>
      <c r="C9" s="127" t="s">
        <v>603</v>
      </c>
      <c r="D9" s="128">
        <v>43000</v>
      </c>
      <c r="E9" s="131">
        <v>243.90000000000003</v>
      </c>
      <c r="F9"/>
      <c r="G9"/>
      <c r="H9"/>
      <c r="I9"/>
      <c r="J9"/>
      <c r="K9"/>
      <c r="L9"/>
      <c r="M9"/>
      <c r="N9"/>
      <c r="O9"/>
    </row>
    <row r="10" spans="1:15" s="133" customFormat="1" ht="16.5" thickTop="1" thickBot="1" x14ac:dyDescent="0.3">
      <c r="A10" s="134" t="s">
        <v>611</v>
      </c>
      <c r="B10" s="135"/>
      <c r="C10" s="135"/>
      <c r="D10" s="136"/>
      <c r="E10" s="137">
        <v>1502.9</v>
      </c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Ed7AJDq9INbcaxeHeURtUQR1DtNYRRM5afqIlKs7A2rHqN5Hgqla8lKTRoTai72aRnmBA+c1W7RSlVoLwkAjw==" saltValue="JF7HGQDuCNGVV88/x70B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627</v>
      </c>
      <c r="B1" s="120"/>
      <c r="G1" s="219"/>
    </row>
    <row r="2" spans="1:15" ht="16.5" thickTop="1" thickBot="1" x14ac:dyDescent="0.3">
      <c r="A2" s="138" t="s">
        <v>0</v>
      </c>
      <c r="B2" s="123">
        <v>220300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30.75" thickTop="1" x14ac:dyDescent="0.25">
      <c r="A5" s="126" t="s">
        <v>387</v>
      </c>
      <c r="B5" s="127" t="s">
        <v>598</v>
      </c>
      <c r="C5" s="127" t="s">
        <v>603</v>
      </c>
      <c r="D5" s="128">
        <v>43000</v>
      </c>
      <c r="E5" s="129">
        <v>16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447</v>
      </c>
      <c r="B6" s="127" t="s">
        <v>601</v>
      </c>
      <c r="C6" s="127" t="s">
        <v>623</v>
      </c>
      <c r="D6" s="128">
        <v>43000</v>
      </c>
      <c r="E6" s="131">
        <v>15</v>
      </c>
      <c r="F6"/>
      <c r="G6"/>
      <c r="H6"/>
      <c r="I6"/>
      <c r="J6"/>
      <c r="K6"/>
      <c r="L6"/>
      <c r="M6"/>
      <c r="N6"/>
      <c r="O6"/>
    </row>
    <row r="7" spans="1:15" s="130" customFormat="1" ht="30" x14ac:dyDescent="0.25">
      <c r="A7" s="126" t="s">
        <v>454</v>
      </c>
      <c r="B7" s="127" t="s">
        <v>597</v>
      </c>
      <c r="C7" s="127" t="s">
        <v>607</v>
      </c>
      <c r="D7" s="128">
        <v>43000</v>
      </c>
      <c r="E7" s="131">
        <v>378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457</v>
      </c>
      <c r="B8" s="127" t="s">
        <v>601</v>
      </c>
      <c r="C8" s="127" t="s">
        <v>603</v>
      </c>
      <c r="D8" s="128">
        <v>43000</v>
      </c>
      <c r="E8" s="131">
        <v>120</v>
      </c>
      <c r="F8"/>
      <c r="G8"/>
      <c r="H8"/>
      <c r="I8"/>
      <c r="J8"/>
      <c r="K8"/>
      <c r="L8"/>
      <c r="M8"/>
      <c r="N8"/>
      <c r="O8"/>
    </row>
    <row r="9" spans="1:15" s="132" customFormat="1" ht="30" x14ac:dyDescent="0.25">
      <c r="A9" s="126" t="s">
        <v>470</v>
      </c>
      <c r="B9" s="127" t="s">
        <v>597</v>
      </c>
      <c r="C9" s="127" t="s">
        <v>607</v>
      </c>
      <c r="D9" s="128">
        <v>43000</v>
      </c>
      <c r="E9" s="131">
        <v>124.80000000000001</v>
      </c>
      <c r="F9"/>
      <c r="G9"/>
      <c r="H9"/>
      <c r="I9"/>
      <c r="J9"/>
      <c r="K9"/>
      <c r="L9"/>
      <c r="M9"/>
      <c r="N9"/>
      <c r="O9"/>
    </row>
    <row r="10" spans="1:15" s="133" customFormat="1" ht="30" x14ac:dyDescent="0.25">
      <c r="A10" s="126" t="s">
        <v>472</v>
      </c>
      <c r="B10" s="127" t="s">
        <v>596</v>
      </c>
      <c r="C10" s="127" t="s">
        <v>624</v>
      </c>
      <c r="D10" s="128">
        <v>43000</v>
      </c>
      <c r="E10" s="131">
        <v>300</v>
      </c>
      <c r="F10"/>
      <c r="G10"/>
      <c r="H10"/>
      <c r="I10"/>
      <c r="J10"/>
      <c r="K10"/>
      <c r="L10"/>
      <c r="M10"/>
      <c r="N10"/>
      <c r="O10"/>
    </row>
    <row r="11" spans="1:15" ht="30" x14ac:dyDescent="0.25">
      <c r="A11" s="126" t="s">
        <v>498</v>
      </c>
      <c r="B11" s="127" t="s">
        <v>601</v>
      </c>
      <c r="C11" s="127" t="s">
        <v>603</v>
      </c>
      <c r="D11" s="128">
        <v>43000</v>
      </c>
      <c r="E11" s="131">
        <v>183</v>
      </c>
    </row>
    <row r="12" spans="1:15" ht="30.75" thickBot="1" x14ac:dyDescent="0.3">
      <c r="A12" s="126" t="s">
        <v>505</v>
      </c>
      <c r="B12" s="127" t="s">
        <v>597</v>
      </c>
      <c r="C12" s="127" t="s">
        <v>607</v>
      </c>
      <c r="D12" s="128">
        <v>43000</v>
      </c>
      <c r="E12" s="131">
        <v>27.839999999999996</v>
      </c>
    </row>
    <row r="13" spans="1:15" ht="16.5" thickTop="1" thickBot="1" x14ac:dyDescent="0.3">
      <c r="A13" s="134" t="s">
        <v>611</v>
      </c>
      <c r="B13" s="135"/>
      <c r="C13" s="135"/>
      <c r="D13" s="136"/>
      <c r="E13" s="137">
        <v>1164.6399999999999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753dQe7EaNPvVPUDrZuk9TmYMkpN5n6FTwE26QkvKnK/lFhHkq1yL3ZY4SuKtNy2xpTDXPvO+UsdP5Xz74OfQ==" saltValue="Hywp+BP4Cx2Lm+DH+BzR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R24"/>
    </sheetView>
  </sheetViews>
  <sheetFormatPr defaultRowHeight="15" x14ac:dyDescent="0.25"/>
  <cols>
    <col min="1" max="1" width="12.42578125" customWidth="1"/>
    <col min="2" max="2" width="10.5703125" customWidth="1"/>
    <col min="3" max="3" width="11.85546875" customWidth="1"/>
    <col min="4" max="4" width="19.42578125" customWidth="1"/>
    <col min="5" max="5" width="33" customWidth="1"/>
    <col min="7" max="7" width="21.140625" customWidth="1"/>
    <col min="8" max="8" width="23.7109375" customWidth="1"/>
    <col min="9" max="9" width="18.42578125" customWidth="1"/>
    <col min="10" max="10" width="20.7109375" customWidth="1"/>
    <col min="11" max="11" width="26.42578125" customWidth="1"/>
    <col min="12" max="12" width="22.28515625" customWidth="1"/>
    <col min="13" max="13" width="21.28515625" customWidth="1"/>
    <col min="14" max="14" width="35" customWidth="1"/>
    <col min="15" max="15" width="28.140625" customWidth="1"/>
    <col min="16" max="16" width="23.85546875" customWidth="1"/>
    <col min="17" max="17" width="27.42578125" customWidth="1"/>
    <col min="18" max="18" width="15.28515625" customWidth="1"/>
  </cols>
  <sheetData>
    <row r="1" spans="1:18" x14ac:dyDescent="0.25">
      <c r="A1" t="s">
        <v>16</v>
      </c>
      <c r="B1" t="s">
        <v>17</v>
      </c>
      <c r="C1" t="s">
        <v>18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</row>
    <row r="2" spans="1:18" x14ac:dyDescent="0.25">
      <c r="A2" t="s">
        <v>19</v>
      </c>
      <c r="B2" t="s">
        <v>20</v>
      </c>
      <c r="C2" s="162">
        <v>43259</v>
      </c>
      <c r="D2">
        <v>280010</v>
      </c>
      <c r="E2" t="s">
        <v>288</v>
      </c>
      <c r="F2">
        <v>26</v>
      </c>
      <c r="G2" t="s">
        <v>421</v>
      </c>
      <c r="H2">
        <v>200</v>
      </c>
      <c r="I2">
        <v>0.55000000000000004</v>
      </c>
      <c r="J2" s="162">
        <v>43000</v>
      </c>
      <c r="K2" t="s">
        <v>598</v>
      </c>
      <c r="L2">
        <v>200</v>
      </c>
      <c r="M2">
        <v>110.00000000000001</v>
      </c>
      <c r="N2" t="s">
        <v>618</v>
      </c>
      <c r="O2" t="s">
        <v>619</v>
      </c>
      <c r="R2" t="s">
        <v>603</v>
      </c>
    </row>
    <row r="3" spans="1:18" x14ac:dyDescent="0.25">
      <c r="A3" t="s">
        <v>19</v>
      </c>
      <c r="B3" t="s">
        <v>20</v>
      </c>
      <c r="C3" s="162">
        <v>43259</v>
      </c>
      <c r="D3">
        <v>280010</v>
      </c>
      <c r="E3" t="s">
        <v>288</v>
      </c>
      <c r="F3">
        <v>66</v>
      </c>
      <c r="G3" t="s">
        <v>469</v>
      </c>
      <c r="H3">
        <v>10</v>
      </c>
      <c r="I3">
        <v>2.98</v>
      </c>
      <c r="J3" s="162">
        <v>43000</v>
      </c>
      <c r="K3" t="s">
        <v>598</v>
      </c>
      <c r="L3">
        <v>10</v>
      </c>
      <c r="M3">
        <v>29.8</v>
      </c>
      <c r="N3" t="s">
        <v>618</v>
      </c>
      <c r="O3" t="s">
        <v>619</v>
      </c>
      <c r="R3" t="s">
        <v>603</v>
      </c>
    </row>
    <row r="4" spans="1:18" x14ac:dyDescent="0.25">
      <c r="A4" t="s">
        <v>19</v>
      </c>
      <c r="B4" t="s">
        <v>20</v>
      </c>
      <c r="C4" s="162">
        <v>43259</v>
      </c>
      <c r="D4">
        <v>280010</v>
      </c>
      <c r="E4" t="s">
        <v>288</v>
      </c>
      <c r="F4">
        <v>100</v>
      </c>
      <c r="G4" t="s">
        <v>515</v>
      </c>
      <c r="H4">
        <v>50</v>
      </c>
      <c r="I4">
        <v>2.2999999999999998</v>
      </c>
      <c r="J4" s="162">
        <v>43000</v>
      </c>
      <c r="K4" t="s">
        <v>598</v>
      </c>
      <c r="L4">
        <v>50</v>
      </c>
      <c r="M4">
        <v>114.99999999999999</v>
      </c>
      <c r="N4" t="s">
        <v>618</v>
      </c>
      <c r="O4" t="s">
        <v>619</v>
      </c>
      <c r="R4" t="s">
        <v>603</v>
      </c>
    </row>
    <row r="5" spans="1:18" x14ac:dyDescent="0.25">
      <c r="A5" t="s">
        <v>19</v>
      </c>
      <c r="B5" t="s">
        <v>20</v>
      </c>
      <c r="C5" s="162">
        <v>43259</v>
      </c>
      <c r="D5">
        <v>280010</v>
      </c>
      <c r="E5" t="s">
        <v>288</v>
      </c>
      <c r="F5">
        <v>38</v>
      </c>
      <c r="G5" t="s">
        <v>435</v>
      </c>
      <c r="H5">
        <v>100</v>
      </c>
      <c r="I5">
        <v>0.97</v>
      </c>
      <c r="J5" s="162">
        <v>43000</v>
      </c>
      <c r="K5" t="s">
        <v>599</v>
      </c>
      <c r="L5">
        <v>100</v>
      </c>
      <c r="M5">
        <v>97</v>
      </c>
      <c r="N5" t="s">
        <v>620</v>
      </c>
      <c r="O5" t="s">
        <v>621</v>
      </c>
      <c r="R5" t="s">
        <v>603</v>
      </c>
    </row>
    <row r="6" spans="1:18" x14ac:dyDescent="0.25">
      <c r="A6" t="s">
        <v>19</v>
      </c>
      <c r="B6" t="s">
        <v>20</v>
      </c>
      <c r="C6" s="162">
        <v>43259</v>
      </c>
      <c r="D6">
        <v>280010</v>
      </c>
      <c r="E6" t="s">
        <v>288</v>
      </c>
      <c r="F6">
        <v>41</v>
      </c>
      <c r="G6" t="s">
        <v>440</v>
      </c>
      <c r="H6">
        <v>50</v>
      </c>
      <c r="I6">
        <v>1.1399999999999999</v>
      </c>
      <c r="J6" s="162">
        <v>43000</v>
      </c>
      <c r="K6" t="s">
        <v>599</v>
      </c>
      <c r="L6">
        <v>50</v>
      </c>
      <c r="M6">
        <v>56.999999999999993</v>
      </c>
      <c r="N6" t="s">
        <v>620</v>
      </c>
      <c r="O6" t="s">
        <v>621</v>
      </c>
      <c r="R6" t="s">
        <v>603</v>
      </c>
    </row>
    <row r="7" spans="1:18" x14ac:dyDescent="0.25">
      <c r="A7" t="s">
        <v>19</v>
      </c>
      <c r="B7" t="s">
        <v>20</v>
      </c>
      <c r="C7" s="162">
        <v>43259</v>
      </c>
      <c r="D7">
        <v>280010</v>
      </c>
      <c r="E7" t="s">
        <v>288</v>
      </c>
      <c r="F7">
        <v>51</v>
      </c>
      <c r="G7" t="s">
        <v>450</v>
      </c>
      <c r="H7">
        <v>10</v>
      </c>
      <c r="I7">
        <v>5.61</v>
      </c>
      <c r="J7" s="162">
        <v>43000</v>
      </c>
      <c r="K7" t="s">
        <v>599</v>
      </c>
      <c r="L7">
        <v>10</v>
      </c>
      <c r="M7">
        <v>56.1</v>
      </c>
      <c r="N7" t="s">
        <v>620</v>
      </c>
      <c r="O7" t="s">
        <v>621</v>
      </c>
      <c r="R7" t="s">
        <v>603</v>
      </c>
    </row>
    <row r="8" spans="1:18" x14ac:dyDescent="0.25">
      <c r="A8" t="s">
        <v>19</v>
      </c>
      <c r="B8" t="s">
        <v>20</v>
      </c>
      <c r="C8" s="162">
        <v>43259</v>
      </c>
      <c r="D8">
        <v>280010</v>
      </c>
      <c r="E8" t="s">
        <v>288</v>
      </c>
      <c r="F8">
        <v>62</v>
      </c>
      <c r="G8" t="s">
        <v>463</v>
      </c>
      <c r="H8">
        <v>100</v>
      </c>
      <c r="I8">
        <v>0.73</v>
      </c>
      <c r="J8" s="162">
        <v>43000</v>
      </c>
      <c r="K8" t="s">
        <v>599</v>
      </c>
      <c r="L8">
        <v>100</v>
      </c>
      <c r="M8">
        <v>73</v>
      </c>
      <c r="N8" t="s">
        <v>620</v>
      </c>
      <c r="O8" t="s">
        <v>621</v>
      </c>
      <c r="R8" t="s">
        <v>603</v>
      </c>
    </row>
    <row r="9" spans="1:18" x14ac:dyDescent="0.25">
      <c r="A9" t="s">
        <v>19</v>
      </c>
      <c r="B9" t="s">
        <v>20</v>
      </c>
      <c r="C9" s="162">
        <v>43259</v>
      </c>
      <c r="D9">
        <v>280010</v>
      </c>
      <c r="E9" t="s">
        <v>288</v>
      </c>
      <c r="F9">
        <v>79</v>
      </c>
      <c r="G9" t="s">
        <v>486</v>
      </c>
      <c r="H9">
        <v>120</v>
      </c>
      <c r="I9">
        <v>3.69</v>
      </c>
      <c r="J9" s="162">
        <v>43000</v>
      </c>
      <c r="K9" t="s">
        <v>599</v>
      </c>
      <c r="L9">
        <v>120</v>
      </c>
      <c r="M9">
        <v>442.8</v>
      </c>
      <c r="N9" t="s">
        <v>620</v>
      </c>
      <c r="O9" t="s">
        <v>621</v>
      </c>
      <c r="R9" t="s">
        <v>603</v>
      </c>
    </row>
    <row r="10" spans="1:18" x14ac:dyDescent="0.25">
      <c r="A10" t="s">
        <v>19</v>
      </c>
      <c r="B10" t="s">
        <v>20</v>
      </c>
      <c r="C10" s="162">
        <v>43259</v>
      </c>
      <c r="D10">
        <v>280010</v>
      </c>
      <c r="E10" t="s">
        <v>288</v>
      </c>
      <c r="F10">
        <v>83</v>
      </c>
      <c r="G10" t="s">
        <v>491</v>
      </c>
      <c r="H10">
        <v>100</v>
      </c>
      <c r="I10">
        <v>0.55000000000000004</v>
      </c>
      <c r="J10" s="162">
        <v>43000</v>
      </c>
      <c r="K10" t="s">
        <v>599</v>
      </c>
      <c r="L10">
        <v>100</v>
      </c>
      <c r="M10">
        <v>55.000000000000007</v>
      </c>
      <c r="N10" t="s">
        <v>620</v>
      </c>
      <c r="O10" t="s">
        <v>621</v>
      </c>
      <c r="R10" t="s">
        <v>603</v>
      </c>
    </row>
    <row r="11" spans="1:18" x14ac:dyDescent="0.25">
      <c r="A11" t="s">
        <v>19</v>
      </c>
      <c r="B11" t="s">
        <v>20</v>
      </c>
      <c r="C11" s="162">
        <v>43259</v>
      </c>
      <c r="D11">
        <v>280010</v>
      </c>
      <c r="E11" t="s">
        <v>288</v>
      </c>
      <c r="F11">
        <v>86</v>
      </c>
      <c r="G11" t="s">
        <v>495</v>
      </c>
      <c r="H11">
        <v>200</v>
      </c>
      <c r="I11">
        <v>3.23</v>
      </c>
      <c r="J11" s="162">
        <v>43000</v>
      </c>
      <c r="K11" t="s">
        <v>599</v>
      </c>
      <c r="L11">
        <v>200</v>
      </c>
      <c r="M11">
        <v>646</v>
      </c>
      <c r="N11" t="s">
        <v>620</v>
      </c>
      <c r="O11" t="s">
        <v>621</v>
      </c>
      <c r="R11" t="s">
        <v>603</v>
      </c>
    </row>
    <row r="12" spans="1:18" x14ac:dyDescent="0.25">
      <c r="A12" t="s">
        <v>19</v>
      </c>
      <c r="B12" t="s">
        <v>20</v>
      </c>
      <c r="C12" s="162">
        <v>43259</v>
      </c>
      <c r="D12">
        <v>280010</v>
      </c>
      <c r="E12" t="s">
        <v>288</v>
      </c>
      <c r="F12">
        <v>108</v>
      </c>
      <c r="G12" t="s">
        <v>527</v>
      </c>
      <c r="H12">
        <v>30</v>
      </c>
      <c r="I12">
        <v>5.04</v>
      </c>
      <c r="J12" s="162">
        <v>43000</v>
      </c>
      <c r="K12" t="s">
        <v>599</v>
      </c>
      <c r="L12">
        <v>30</v>
      </c>
      <c r="M12">
        <v>151.19999999999999</v>
      </c>
      <c r="N12" t="s">
        <v>620</v>
      </c>
      <c r="O12" t="s">
        <v>621</v>
      </c>
      <c r="R12" t="s">
        <v>603</v>
      </c>
    </row>
    <row r="13" spans="1:18" x14ac:dyDescent="0.25">
      <c r="A13" t="s">
        <v>19</v>
      </c>
      <c r="B13" t="s">
        <v>20</v>
      </c>
      <c r="C13" s="162">
        <v>43259</v>
      </c>
      <c r="D13">
        <v>280010</v>
      </c>
      <c r="E13" t="s">
        <v>288</v>
      </c>
      <c r="F13">
        <v>116</v>
      </c>
      <c r="G13" t="s">
        <v>541</v>
      </c>
      <c r="H13">
        <v>300</v>
      </c>
      <c r="I13">
        <v>1.45</v>
      </c>
      <c r="J13" s="162">
        <v>43000</v>
      </c>
      <c r="K13" t="s">
        <v>599</v>
      </c>
      <c r="L13">
        <v>300</v>
      </c>
      <c r="M13">
        <v>435</v>
      </c>
      <c r="N13" t="s">
        <v>620</v>
      </c>
      <c r="O13" t="s">
        <v>621</v>
      </c>
      <c r="R13" t="s">
        <v>603</v>
      </c>
    </row>
    <row r="14" spans="1:18" x14ac:dyDescent="0.25">
      <c r="A14" t="s">
        <v>19</v>
      </c>
      <c r="B14" t="s">
        <v>20</v>
      </c>
      <c r="C14" s="162">
        <v>43259</v>
      </c>
      <c r="D14">
        <v>280010</v>
      </c>
      <c r="E14" t="s">
        <v>288</v>
      </c>
      <c r="F14">
        <v>74</v>
      </c>
      <c r="G14" t="s">
        <v>481</v>
      </c>
      <c r="H14">
        <v>50</v>
      </c>
      <c r="I14">
        <v>46.44</v>
      </c>
      <c r="J14" s="162">
        <v>43000</v>
      </c>
      <c r="K14" t="s">
        <v>600</v>
      </c>
      <c r="L14">
        <v>50</v>
      </c>
      <c r="M14">
        <v>2322</v>
      </c>
      <c r="N14" s="162">
        <v>43061</v>
      </c>
      <c r="O14" t="s">
        <v>608</v>
      </c>
      <c r="R14" t="s">
        <v>603</v>
      </c>
    </row>
    <row r="15" spans="1:18" x14ac:dyDescent="0.25">
      <c r="A15" t="s">
        <v>19</v>
      </c>
      <c r="B15" t="s">
        <v>20</v>
      </c>
      <c r="C15" s="162">
        <v>43259</v>
      </c>
      <c r="D15">
        <v>280010</v>
      </c>
      <c r="E15" t="s">
        <v>288</v>
      </c>
      <c r="F15">
        <v>52</v>
      </c>
      <c r="G15" t="s">
        <v>451</v>
      </c>
      <c r="H15">
        <v>100</v>
      </c>
      <c r="I15">
        <v>3.5</v>
      </c>
      <c r="J15" s="162">
        <v>43000</v>
      </c>
      <c r="K15" t="s">
        <v>601</v>
      </c>
      <c r="L15">
        <v>100</v>
      </c>
      <c r="M15">
        <v>350</v>
      </c>
      <c r="N15" s="162">
        <v>43046</v>
      </c>
      <c r="O15" t="s">
        <v>609</v>
      </c>
      <c r="R15" t="s">
        <v>603</v>
      </c>
    </row>
    <row r="16" spans="1:18" x14ac:dyDescent="0.25">
      <c r="A16" t="s">
        <v>19</v>
      </c>
      <c r="B16" t="s">
        <v>20</v>
      </c>
      <c r="C16" s="162">
        <v>43259</v>
      </c>
      <c r="D16">
        <v>280010</v>
      </c>
      <c r="E16" t="s">
        <v>288</v>
      </c>
      <c r="F16">
        <v>54</v>
      </c>
      <c r="G16" t="s">
        <v>453</v>
      </c>
      <c r="H16">
        <v>100</v>
      </c>
      <c r="I16">
        <v>1.4</v>
      </c>
      <c r="J16" s="162">
        <v>43000</v>
      </c>
      <c r="K16" t="s">
        <v>601</v>
      </c>
      <c r="L16">
        <v>100</v>
      </c>
      <c r="M16">
        <v>140</v>
      </c>
      <c r="N16" s="162">
        <v>43046</v>
      </c>
      <c r="O16" t="s">
        <v>609</v>
      </c>
      <c r="R16" t="s">
        <v>603</v>
      </c>
    </row>
    <row r="17" spans="1:18" x14ac:dyDescent="0.25">
      <c r="A17" t="s">
        <v>19</v>
      </c>
      <c r="B17" t="s">
        <v>20</v>
      </c>
      <c r="C17" s="162">
        <v>43259</v>
      </c>
      <c r="D17">
        <v>280010</v>
      </c>
      <c r="E17" t="s">
        <v>288</v>
      </c>
      <c r="F17">
        <v>58</v>
      </c>
      <c r="G17" t="s">
        <v>457</v>
      </c>
      <c r="H17">
        <v>50</v>
      </c>
      <c r="I17">
        <v>4</v>
      </c>
      <c r="J17" s="162">
        <v>43000</v>
      </c>
      <c r="K17" t="s">
        <v>601</v>
      </c>
      <c r="L17">
        <v>50</v>
      </c>
      <c r="M17">
        <v>200</v>
      </c>
      <c r="N17" s="162">
        <v>43046</v>
      </c>
      <c r="O17" t="s">
        <v>609</v>
      </c>
      <c r="R17" t="s">
        <v>603</v>
      </c>
    </row>
    <row r="18" spans="1:18" x14ac:dyDescent="0.25">
      <c r="A18" t="s">
        <v>19</v>
      </c>
      <c r="B18" t="s">
        <v>20</v>
      </c>
      <c r="C18" s="162">
        <v>43259</v>
      </c>
      <c r="D18">
        <v>280010</v>
      </c>
      <c r="E18" t="s">
        <v>288</v>
      </c>
      <c r="F18">
        <v>64</v>
      </c>
      <c r="G18" t="s">
        <v>466</v>
      </c>
      <c r="H18">
        <v>100</v>
      </c>
      <c r="I18">
        <v>0.43</v>
      </c>
      <c r="J18" s="162">
        <v>43000</v>
      </c>
      <c r="K18" t="s">
        <v>601</v>
      </c>
      <c r="L18">
        <v>100</v>
      </c>
      <c r="M18">
        <v>43</v>
      </c>
      <c r="N18" s="162">
        <v>43046</v>
      </c>
      <c r="O18" t="s">
        <v>609</v>
      </c>
      <c r="R18" t="s">
        <v>603</v>
      </c>
    </row>
    <row r="19" spans="1:18" x14ac:dyDescent="0.25">
      <c r="A19" t="s">
        <v>19</v>
      </c>
      <c r="B19" t="s">
        <v>20</v>
      </c>
      <c r="C19" s="162">
        <v>43259</v>
      </c>
      <c r="D19">
        <v>280010</v>
      </c>
      <c r="E19" t="s">
        <v>288</v>
      </c>
      <c r="F19">
        <v>39</v>
      </c>
      <c r="G19" t="s">
        <v>437</v>
      </c>
      <c r="H19">
        <v>40</v>
      </c>
      <c r="I19">
        <v>1</v>
      </c>
      <c r="J19" s="162">
        <v>43000</v>
      </c>
      <c r="K19" t="s">
        <v>597</v>
      </c>
      <c r="L19">
        <v>40</v>
      </c>
      <c r="M19">
        <v>40</v>
      </c>
      <c r="R19" t="s">
        <v>607</v>
      </c>
    </row>
    <row r="20" spans="1:18" x14ac:dyDescent="0.25">
      <c r="A20" t="s">
        <v>19</v>
      </c>
      <c r="B20" t="s">
        <v>20</v>
      </c>
      <c r="C20" s="162">
        <v>43259</v>
      </c>
      <c r="D20">
        <v>280010</v>
      </c>
      <c r="E20" t="s">
        <v>288</v>
      </c>
      <c r="F20">
        <v>85</v>
      </c>
      <c r="G20" t="s">
        <v>494</v>
      </c>
      <c r="H20">
        <v>120</v>
      </c>
      <c r="I20">
        <v>3.5</v>
      </c>
      <c r="J20" s="162">
        <v>43000</v>
      </c>
      <c r="K20" t="s">
        <v>597</v>
      </c>
      <c r="L20">
        <v>120</v>
      </c>
      <c r="M20">
        <v>420</v>
      </c>
      <c r="R20" t="s">
        <v>607</v>
      </c>
    </row>
    <row r="21" spans="1:18" x14ac:dyDescent="0.25">
      <c r="A21" t="s">
        <v>19</v>
      </c>
      <c r="B21" t="s">
        <v>20</v>
      </c>
      <c r="C21" s="162">
        <v>43259</v>
      </c>
      <c r="D21">
        <v>280010</v>
      </c>
      <c r="E21" t="s">
        <v>288</v>
      </c>
      <c r="F21">
        <v>93</v>
      </c>
      <c r="G21" t="s">
        <v>505</v>
      </c>
      <c r="H21">
        <v>700</v>
      </c>
      <c r="I21">
        <v>2.3199999999999998</v>
      </c>
      <c r="J21" s="162">
        <v>43000</v>
      </c>
      <c r="K21" t="s">
        <v>597</v>
      </c>
      <c r="L21">
        <v>700</v>
      </c>
      <c r="M21">
        <v>1624</v>
      </c>
      <c r="R21" t="s">
        <v>607</v>
      </c>
    </row>
    <row r="22" spans="1:18" x14ac:dyDescent="0.25">
      <c r="A22" t="s">
        <v>19</v>
      </c>
      <c r="B22" t="s">
        <v>20</v>
      </c>
      <c r="C22" s="162">
        <v>43259</v>
      </c>
      <c r="D22">
        <v>280010</v>
      </c>
      <c r="E22" t="s">
        <v>288</v>
      </c>
      <c r="F22">
        <v>61</v>
      </c>
      <c r="G22" t="s">
        <v>461</v>
      </c>
      <c r="H22">
        <v>10</v>
      </c>
      <c r="I22">
        <v>9</v>
      </c>
      <c r="J22" s="162">
        <v>43000</v>
      </c>
      <c r="K22" t="s">
        <v>596</v>
      </c>
      <c r="L22">
        <v>10</v>
      </c>
      <c r="M22">
        <v>90</v>
      </c>
      <c r="N22" t="s">
        <v>605</v>
      </c>
      <c r="R22" t="s">
        <v>624</v>
      </c>
    </row>
    <row r="23" spans="1:18" x14ac:dyDescent="0.25">
      <c r="A23" t="s">
        <v>19</v>
      </c>
      <c r="B23" t="s">
        <v>20</v>
      </c>
      <c r="C23" s="162">
        <v>43259</v>
      </c>
      <c r="D23">
        <v>280010</v>
      </c>
      <c r="E23" t="s">
        <v>288</v>
      </c>
      <c r="F23">
        <v>69</v>
      </c>
      <c r="G23" t="s">
        <v>472</v>
      </c>
      <c r="H23">
        <v>25</v>
      </c>
      <c r="I23">
        <v>5</v>
      </c>
      <c r="J23" s="162">
        <v>43000</v>
      </c>
      <c r="K23" t="s">
        <v>596</v>
      </c>
      <c r="L23">
        <v>25</v>
      </c>
      <c r="M23">
        <v>125</v>
      </c>
      <c r="N23" t="s">
        <v>605</v>
      </c>
      <c r="R23" t="s">
        <v>624</v>
      </c>
    </row>
    <row r="24" spans="1:18" x14ac:dyDescent="0.25">
      <c r="A24" t="s">
        <v>19</v>
      </c>
      <c r="B24" t="s">
        <v>20</v>
      </c>
      <c r="C24" s="162">
        <v>43259</v>
      </c>
      <c r="D24">
        <v>280010</v>
      </c>
      <c r="E24" t="s">
        <v>288</v>
      </c>
      <c r="F24">
        <v>48</v>
      </c>
      <c r="G24" t="s">
        <v>447</v>
      </c>
      <c r="H24">
        <v>500</v>
      </c>
      <c r="I24">
        <v>0.75</v>
      </c>
      <c r="J24" s="162">
        <v>43000</v>
      </c>
      <c r="K24" t="s">
        <v>601</v>
      </c>
      <c r="L24">
        <v>500</v>
      </c>
      <c r="M24">
        <v>375</v>
      </c>
      <c r="N24" s="162">
        <v>43046</v>
      </c>
      <c r="O24" t="s">
        <v>622</v>
      </c>
      <c r="R24" t="s">
        <v>623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628</v>
      </c>
      <c r="B1" s="120"/>
      <c r="G1" s="219"/>
    </row>
    <row r="2" spans="1:15" ht="16.5" thickTop="1" thickBot="1" x14ac:dyDescent="0.3">
      <c r="A2" s="138" t="s">
        <v>0</v>
      </c>
      <c r="B2" s="123">
        <v>280010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15.75" thickTop="1" x14ac:dyDescent="0.25">
      <c r="A5" s="126" t="s">
        <v>421</v>
      </c>
      <c r="B5" s="127" t="s">
        <v>598</v>
      </c>
      <c r="C5" s="127" t="s">
        <v>603</v>
      </c>
      <c r="D5" s="128">
        <v>43000</v>
      </c>
      <c r="E5" s="129">
        <v>110.00000000000001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437</v>
      </c>
      <c r="B6" s="127" t="s">
        <v>597</v>
      </c>
      <c r="C6" s="127" t="s">
        <v>607</v>
      </c>
      <c r="D6" s="128">
        <v>43000</v>
      </c>
      <c r="E6" s="131">
        <v>40</v>
      </c>
      <c r="F6"/>
      <c r="G6"/>
      <c r="H6"/>
      <c r="I6"/>
      <c r="J6"/>
      <c r="K6"/>
      <c r="L6"/>
      <c r="M6"/>
      <c r="N6"/>
      <c r="O6"/>
    </row>
    <row r="7" spans="1:15" s="130" customFormat="1" x14ac:dyDescent="0.25">
      <c r="A7" s="126" t="s">
        <v>435</v>
      </c>
      <c r="B7" s="127" t="s">
        <v>599</v>
      </c>
      <c r="C7" s="127" t="s">
        <v>603</v>
      </c>
      <c r="D7" s="128">
        <v>43000</v>
      </c>
      <c r="E7" s="131">
        <v>97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440</v>
      </c>
      <c r="B8" s="127" t="s">
        <v>599</v>
      </c>
      <c r="C8" s="127" t="s">
        <v>603</v>
      </c>
      <c r="D8" s="128">
        <v>43000</v>
      </c>
      <c r="E8" s="131">
        <v>56.999999999999993</v>
      </c>
      <c r="F8"/>
      <c r="G8"/>
      <c r="H8"/>
      <c r="I8"/>
      <c r="J8"/>
      <c r="K8"/>
      <c r="L8"/>
      <c r="M8"/>
      <c r="N8"/>
      <c r="O8"/>
    </row>
    <row r="9" spans="1:15" s="132" customFormat="1" ht="30" x14ac:dyDescent="0.25">
      <c r="A9" s="126" t="s">
        <v>447</v>
      </c>
      <c r="B9" s="127" t="s">
        <v>601</v>
      </c>
      <c r="C9" s="127" t="s">
        <v>623</v>
      </c>
      <c r="D9" s="128">
        <v>43000</v>
      </c>
      <c r="E9" s="131">
        <v>375</v>
      </c>
      <c r="F9"/>
      <c r="G9"/>
      <c r="H9"/>
      <c r="I9"/>
      <c r="J9"/>
      <c r="K9"/>
      <c r="L9"/>
      <c r="M9"/>
      <c r="N9"/>
      <c r="O9"/>
    </row>
    <row r="10" spans="1:15" s="133" customFormat="1" ht="30" x14ac:dyDescent="0.25">
      <c r="A10" s="126" t="s">
        <v>450</v>
      </c>
      <c r="B10" s="127" t="s">
        <v>599</v>
      </c>
      <c r="C10" s="127" t="s">
        <v>603</v>
      </c>
      <c r="D10" s="128">
        <v>43000</v>
      </c>
      <c r="E10" s="131">
        <v>56.1</v>
      </c>
      <c r="F10"/>
      <c r="G10"/>
      <c r="H10"/>
      <c r="I10"/>
      <c r="J10"/>
      <c r="K10"/>
      <c r="L10"/>
      <c r="M10"/>
      <c r="N10"/>
      <c r="O10"/>
    </row>
    <row r="11" spans="1:15" x14ac:dyDescent="0.25">
      <c r="A11" s="126" t="s">
        <v>451</v>
      </c>
      <c r="B11" s="127" t="s">
        <v>601</v>
      </c>
      <c r="C11" s="127" t="s">
        <v>603</v>
      </c>
      <c r="D11" s="128">
        <v>43000</v>
      </c>
      <c r="E11" s="131">
        <v>350</v>
      </c>
    </row>
    <row r="12" spans="1:15" ht="30" x14ac:dyDescent="0.25">
      <c r="A12" s="126" t="s">
        <v>453</v>
      </c>
      <c r="B12" s="127" t="s">
        <v>601</v>
      </c>
      <c r="C12" s="127" t="s">
        <v>603</v>
      </c>
      <c r="D12" s="128">
        <v>43000</v>
      </c>
      <c r="E12" s="131">
        <v>140</v>
      </c>
    </row>
    <row r="13" spans="1:15" ht="30" x14ac:dyDescent="0.25">
      <c r="A13" s="126" t="s">
        <v>457</v>
      </c>
      <c r="B13" s="127" t="s">
        <v>601</v>
      </c>
      <c r="C13" s="127" t="s">
        <v>603</v>
      </c>
      <c r="D13" s="128">
        <v>43000</v>
      </c>
      <c r="E13" s="131">
        <v>200</v>
      </c>
    </row>
    <row r="14" spans="1:15" ht="30" x14ac:dyDescent="0.25">
      <c r="A14" s="126" t="s">
        <v>461</v>
      </c>
      <c r="B14" s="127" t="s">
        <v>596</v>
      </c>
      <c r="C14" s="127" t="s">
        <v>624</v>
      </c>
      <c r="D14" s="128">
        <v>43000</v>
      </c>
      <c r="E14" s="131">
        <v>90</v>
      </c>
    </row>
    <row r="15" spans="1:15" ht="30" x14ac:dyDescent="0.25">
      <c r="A15" s="126" t="s">
        <v>463</v>
      </c>
      <c r="B15" s="127" t="s">
        <v>599</v>
      </c>
      <c r="C15" s="127" t="s">
        <v>603</v>
      </c>
      <c r="D15" s="128">
        <v>43000</v>
      </c>
      <c r="E15" s="131">
        <v>73</v>
      </c>
    </row>
    <row r="16" spans="1:15" ht="30" x14ac:dyDescent="0.25">
      <c r="A16" s="126" t="s">
        <v>469</v>
      </c>
      <c r="B16" s="127" t="s">
        <v>598</v>
      </c>
      <c r="C16" s="127" t="s">
        <v>603</v>
      </c>
      <c r="D16" s="128">
        <v>43000</v>
      </c>
      <c r="E16" s="131">
        <v>29.8</v>
      </c>
    </row>
    <row r="17" spans="1:5" x14ac:dyDescent="0.25">
      <c r="A17" s="126" t="s">
        <v>466</v>
      </c>
      <c r="B17" s="127" t="s">
        <v>601</v>
      </c>
      <c r="C17" s="127" t="s">
        <v>603</v>
      </c>
      <c r="D17" s="128">
        <v>43000</v>
      </c>
      <c r="E17" s="131">
        <v>43</v>
      </c>
    </row>
    <row r="18" spans="1:5" ht="30" x14ac:dyDescent="0.25">
      <c r="A18" s="126" t="s">
        <v>472</v>
      </c>
      <c r="B18" s="127" t="s">
        <v>596</v>
      </c>
      <c r="C18" s="127" t="s">
        <v>624</v>
      </c>
      <c r="D18" s="128">
        <v>43000</v>
      </c>
      <c r="E18" s="131">
        <v>125</v>
      </c>
    </row>
    <row r="19" spans="1:5" x14ac:dyDescent="0.25">
      <c r="A19" s="126" t="s">
        <v>481</v>
      </c>
      <c r="B19" s="127" t="s">
        <v>600</v>
      </c>
      <c r="C19" s="127" t="s">
        <v>603</v>
      </c>
      <c r="D19" s="128">
        <v>43000</v>
      </c>
      <c r="E19" s="131">
        <v>2322</v>
      </c>
    </row>
    <row r="20" spans="1:5" x14ac:dyDescent="0.25">
      <c r="A20" s="126" t="s">
        <v>486</v>
      </c>
      <c r="B20" s="127" t="s">
        <v>599</v>
      </c>
      <c r="C20" s="127" t="s">
        <v>603</v>
      </c>
      <c r="D20" s="128">
        <v>43000</v>
      </c>
      <c r="E20" s="131">
        <v>442.8</v>
      </c>
    </row>
    <row r="21" spans="1:5" ht="30" x14ac:dyDescent="0.25">
      <c r="A21" s="126" t="s">
        <v>491</v>
      </c>
      <c r="B21" s="127" t="s">
        <v>599</v>
      </c>
      <c r="C21" s="127" t="s">
        <v>603</v>
      </c>
      <c r="D21" s="128">
        <v>43000</v>
      </c>
      <c r="E21" s="131">
        <v>55.000000000000007</v>
      </c>
    </row>
    <row r="22" spans="1:5" ht="30" x14ac:dyDescent="0.25">
      <c r="A22" s="126" t="s">
        <v>494</v>
      </c>
      <c r="B22" s="127" t="s">
        <v>597</v>
      </c>
      <c r="C22" s="127" t="s">
        <v>607</v>
      </c>
      <c r="D22" s="128">
        <v>43000</v>
      </c>
      <c r="E22" s="131">
        <v>420</v>
      </c>
    </row>
    <row r="23" spans="1:5" ht="30" x14ac:dyDescent="0.25">
      <c r="A23" s="126" t="s">
        <v>495</v>
      </c>
      <c r="B23" s="127" t="s">
        <v>599</v>
      </c>
      <c r="C23" s="127" t="s">
        <v>603</v>
      </c>
      <c r="D23" s="128">
        <v>43000</v>
      </c>
      <c r="E23" s="131">
        <v>646</v>
      </c>
    </row>
    <row r="24" spans="1:5" ht="30" x14ac:dyDescent="0.25">
      <c r="A24" s="126" t="s">
        <v>505</v>
      </c>
      <c r="B24" s="127" t="s">
        <v>597</v>
      </c>
      <c r="C24" s="127" t="s">
        <v>607</v>
      </c>
      <c r="D24" s="128">
        <v>43000</v>
      </c>
      <c r="E24" s="131">
        <v>1624</v>
      </c>
    </row>
    <row r="25" spans="1:5" ht="30" x14ac:dyDescent="0.25">
      <c r="A25" s="126" t="s">
        <v>515</v>
      </c>
      <c r="B25" s="127" t="s">
        <v>598</v>
      </c>
      <c r="C25" s="127" t="s">
        <v>603</v>
      </c>
      <c r="D25" s="128">
        <v>43000</v>
      </c>
      <c r="E25" s="131">
        <v>114.99999999999999</v>
      </c>
    </row>
    <row r="26" spans="1:5" ht="30" x14ac:dyDescent="0.25">
      <c r="A26" s="126" t="s">
        <v>527</v>
      </c>
      <c r="B26" s="127" t="s">
        <v>599</v>
      </c>
      <c r="C26" s="127" t="s">
        <v>603</v>
      </c>
      <c r="D26" s="128">
        <v>43000</v>
      </c>
      <c r="E26" s="131">
        <v>151.19999999999999</v>
      </c>
    </row>
    <row r="27" spans="1:5" ht="30.75" thickBot="1" x14ac:dyDescent="0.3">
      <c r="A27" s="126" t="s">
        <v>541</v>
      </c>
      <c r="B27" s="127" t="s">
        <v>599</v>
      </c>
      <c r="C27" s="127" t="s">
        <v>603</v>
      </c>
      <c r="D27" s="128">
        <v>43000</v>
      </c>
      <c r="E27" s="131">
        <v>435</v>
      </c>
    </row>
    <row r="28" spans="1:5" ht="16.5" thickTop="1" thickBot="1" x14ac:dyDescent="0.3">
      <c r="A28" s="134" t="s">
        <v>611</v>
      </c>
      <c r="B28" s="135"/>
      <c r="C28" s="135"/>
      <c r="D28" s="136"/>
      <c r="E28" s="137">
        <v>7996.9</v>
      </c>
    </row>
    <row r="29" spans="1:5" ht="15.75" thickTop="1" x14ac:dyDescent="0.25">
      <c r="B29"/>
      <c r="C29"/>
      <c r="D29"/>
      <c r="E29"/>
    </row>
    <row r="30" spans="1:5" x14ac:dyDescent="0.25">
      <c r="B30"/>
      <c r="C30"/>
      <c r="D30"/>
      <c r="E30"/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xJSVth9IulFcZOZObdxcHqnEH5DW8hNvGnyY/LRF7PTx55szYHLbJGwkU80m7hJMBMTboh0DJk4Tx/e4E/oeIg==" saltValue="GhO1aHf9QhXxCXlDs8ZZp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controle saldo</vt:lpstr>
      <vt:lpstr>c.c</vt:lpstr>
      <vt:lpstr>relatório 2017</vt:lpstr>
      <vt:lpstr>MENU</vt:lpstr>
      <vt:lpstr>100.070</vt:lpstr>
      <vt:lpstr>100.500</vt:lpstr>
      <vt:lpstr>220.300</vt:lpstr>
      <vt:lpstr>Plan1</vt:lpstr>
      <vt:lpstr>280.010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rafalopes</dc:creator>
  <cp:lastModifiedBy>orijhanses</cp:lastModifiedBy>
  <dcterms:created xsi:type="dcterms:W3CDTF">2017-09-28T17:40:00Z</dcterms:created>
  <dcterms:modified xsi:type="dcterms:W3CDTF">2019-10-21T12:32:58Z</dcterms:modified>
</cp:coreProperties>
</file>